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1v9yoFgbPw8771dfyxhszP7vuREsVLkLzvOFLZDbrRllj1IPx1HyYfZriAlzh7waJgthUVXzNCCP0XHODM1KGg==" workbookSaltValue="KltQwiHGUiljgrE/hg3L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X12" i="17" s="1"/>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V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EQ19" i="8"/>
  <c r="AP12" i="11"/>
  <c r="Y11" i="11"/>
  <c r="AT18" i="17"/>
  <c r="N10" i="11"/>
  <c r="N9" i="11"/>
  <c r="T10" i="21"/>
  <c r="N11" i="11"/>
  <c r="ES19" i="8"/>
  <c r="S19" i="13"/>
  <c r="AG19" i="19"/>
  <c r="F9" i="11"/>
  <c r="CI19" i="8"/>
  <c r="AE19" i="8"/>
  <c r="F17" i="16"/>
  <c r="BL17" i="16" s="1"/>
  <c r="EP19" i="8"/>
  <c r="ER19" i="13"/>
  <c r="AL13" i="16"/>
  <c r="S13" i="16"/>
  <c r="H18" i="16"/>
  <c r="P13" i="16"/>
  <c r="AN13" i="20"/>
  <c r="Z13" i="17"/>
  <c r="B12" i="6"/>
  <c r="T13" i="12"/>
  <c r="BJ15" i="11"/>
  <c r="R17" i="20"/>
  <c r="R18" i="20" s="1"/>
  <c r="AZ15" i="11"/>
  <c r="AZ18" i="11" s="1"/>
  <c r="BV12" i="16"/>
  <c r="U10" i="17"/>
  <c r="AA16" i="16"/>
  <c r="T16" i="11"/>
  <c r="BI9" i="11"/>
  <c r="BH11" i="11"/>
  <c r="BH12" i="16"/>
  <c r="AY13" i="8"/>
  <c r="BE9" i="8"/>
  <c r="AV18" i="17"/>
  <c r="J18" i="17"/>
  <c r="T13" i="16"/>
  <c r="AP13" i="16"/>
  <c r="BG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E18" i="12"/>
  <c r="T19" i="8"/>
  <c r="C18" i="7"/>
  <c r="AJ19" i="8"/>
  <c r="AW18" i="21"/>
  <c r="BD12" i="8"/>
  <c r="AB19" i="8"/>
  <c r="Z19" i="8"/>
  <c r="AC10" i="11"/>
  <c r="H13" i="12"/>
  <c r="BG10" i="8"/>
  <c r="C19" i="3"/>
  <c r="AL10" i="11"/>
  <c r="AO12" i="11"/>
  <c r="H15" i="2"/>
  <c r="H12" i="7"/>
  <c r="AO9" i="11"/>
  <c r="C11" i="6"/>
  <c r="L12" i="14"/>
  <c r="B17" i="6"/>
  <c r="B16" i="6"/>
  <c r="C17" i="6"/>
  <c r="N13" i="2"/>
  <c r="E11" i="6"/>
  <c r="E9" i="6"/>
  <c r="F9" i="2"/>
  <c r="D11" i="2"/>
  <c r="AO16" i="11"/>
  <c r="H12" i="2"/>
  <c r="M18" i="2"/>
  <c r="M19" i="2" s="1"/>
  <c r="N18" i="2"/>
  <c r="B9" i="6"/>
  <c r="F11" i="11"/>
  <c r="AQ11" i="11" s="1"/>
  <c r="BE16" i="13"/>
  <c r="L12" i="2"/>
  <c r="S17" i="17"/>
  <c r="BJ10" i="11"/>
  <c r="Q17" i="17"/>
  <c r="X15" i="17"/>
  <c r="S11" i="17"/>
  <c r="BV11" i="16"/>
  <c r="BV17" i="16"/>
  <c r="AZ9" i="11"/>
  <c r="AZ13" i="11" s="1"/>
  <c r="AP15" i="20"/>
  <c r="AL11" i="11"/>
  <c r="AC11" i="11"/>
  <c r="C10" i="6"/>
  <c r="I10" i="12" s="1"/>
  <c r="BE15" i="13"/>
  <c r="BA18" i="13"/>
  <c r="BF18" i="13" s="1"/>
  <c r="AO17" i="11"/>
  <c r="E15" i="6"/>
  <c r="K15" i="12" s="1"/>
  <c r="BD15" i="8"/>
  <c r="H15" i="7" s="1"/>
  <c r="BE15" i="8"/>
  <c r="I15" i="7" s="1"/>
  <c r="BG16" i="8"/>
  <c r="E18" i="2"/>
  <c r="F18" i="2" s="1"/>
  <c r="AL15" i="11"/>
  <c r="L16" i="14"/>
  <c r="F15" i="11"/>
  <c r="F16" i="17"/>
  <c r="AQ16" i="17" s="1"/>
  <c r="BA13" i="8"/>
  <c r="BF9" i="13"/>
  <c r="D11" i="12"/>
  <c r="D12" i="12"/>
  <c r="BF11" i="8"/>
  <c r="BF9" i="8"/>
  <c r="BG9" i="8"/>
  <c r="K9" i="7" s="1"/>
  <c r="BD11" i="8"/>
  <c r="BE11" i="8"/>
  <c r="I11" i="7" s="1"/>
  <c r="BG12" i="8"/>
  <c r="K12" i="7" s="1"/>
  <c r="BE12" i="8"/>
  <c r="I12" i="7" s="1"/>
  <c r="L11" i="14"/>
  <c r="F12" i="11"/>
  <c r="AQ12" i="11" s="1"/>
  <c r="X12" i="21"/>
  <c r="AP16" i="20"/>
  <c r="BH9" i="16"/>
  <c r="V15" i="11"/>
  <c r="BJ17" i="11"/>
  <c r="BH15" i="11"/>
  <c r="BH15" i="16"/>
  <c r="Q17" i="20"/>
  <c r="Q18" i="20" s="1"/>
  <c r="V11" i="16"/>
  <c r="BF17" i="11"/>
  <c r="BF16" i="11"/>
  <c r="Q16"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P15" i="11" s="1"/>
  <c r="BL10" i="11"/>
  <c r="BH10" i="16"/>
  <c r="Q15" i="17"/>
  <c r="BM17" i="11"/>
  <c r="BF15" i="11"/>
  <c r="BH16" i="11"/>
  <c r="AQ12" i="21"/>
  <c r="BJ16" i="11"/>
  <c r="BL16" i="11"/>
  <c r="L10" i="2"/>
  <c r="L15" i="2"/>
  <c r="L16" i="2"/>
  <c r="V9" i="16"/>
  <c r="T9" i="11"/>
  <c r="BF11" i="11"/>
  <c r="BH11" i="16"/>
  <c r="BL9" i="11"/>
  <c r="BH17" i="16"/>
  <c r="BG10" i="11"/>
  <c r="BM16" i="11"/>
  <c r="P17" i="17"/>
  <c r="BL17" i="11"/>
  <c r="P17" i="11" s="1"/>
  <c r="BK12" i="11"/>
  <c r="BF10" i="11"/>
  <c r="BK9" i="11"/>
  <c r="R12" i="14"/>
  <c r="V12" i="21"/>
  <c r="AO12" i="17"/>
  <c r="BK11" i="11"/>
  <c r="X9" i="17"/>
  <c r="AP10" i="21"/>
  <c r="BM12" i="11"/>
  <c r="BH9" i="1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D13" i="13" s="1"/>
  <c r="BE11" i="13"/>
  <c r="BG10" i="13"/>
  <c r="BE17" i="13"/>
  <c r="F17" i="11"/>
  <c r="AQ17" i="11" s="1"/>
  <c r="AQ15" i="11"/>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B19" i="7"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AS16" i="20"/>
  <c r="Q10" i="11"/>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F18" i="11" l="1"/>
  <c r="I17" i="12"/>
  <c r="F19" i="7"/>
  <c r="Y13" i="11"/>
  <c r="D19" i="12"/>
  <c r="BE13" i="8"/>
  <c r="G21" i="11"/>
  <c r="H13" i="2"/>
  <c r="N19" i="2"/>
  <c r="AL18" i="11"/>
  <c r="AM13" i="11"/>
  <c r="B18" i="6"/>
  <c r="S18" i="14"/>
  <c r="F18" i="17"/>
  <c r="U13" i="17"/>
  <c r="BE18" i="13"/>
  <c r="F18" i="20"/>
  <c r="F21" i="20" s="1"/>
  <c r="BK18" i="11"/>
  <c r="P16" i="11"/>
  <c r="BK13" i="11"/>
  <c r="BK19" i="11" s="1"/>
  <c r="Q9" i="11"/>
  <c r="P12" i="11"/>
  <c r="BV13" i="16"/>
  <c r="BW21" i="20"/>
  <c r="T18" i="16"/>
  <c r="T19" i="16" s="1"/>
  <c r="Q15" i="11"/>
  <c r="BH18" i="11"/>
  <c r="BD18" i="13"/>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<sst xmlns="http://schemas.openxmlformats.org/spreadsheetml/2006/main" count="2102" uniqueCount="918">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</sst>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vyWBGw/xC7QjWzWdQdht7iWr1SHpByBGa/A8OIH14DPcDCcVDXKO8RrwkTqMDFR2Ib8yU6zt2/divDOf55ymg==" saltValue="DJ6xFkAgONi4OHuh/7Hd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1</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21.338345864661655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255</v>
      </c>
      <c r="D16" s="224">
        <f>IF(ISNUMBER(IF(D_I="SI",Datos!I16,Datos!I16+Datos!AC16)),IF(D_I="SI",Datos!I16,Datos!I16+Datos!AC16)," - ")</f>
        <v>247</v>
      </c>
      <c r="E16" s="225">
        <f>IF(ISNUMBER(IF(D_I="SI",Datos!J16,Datos!J16+Datos!AD16)),IF(D_I="SI",Datos!J16,Datos!J16+Datos!AD16)," - ")</f>
        <v>148</v>
      </c>
      <c r="F16" s="225">
        <f>IF(ISNUMBER(IF(D_I="SI",Datos!K16,Datos!K16+Datos!AE16)),IF(D_I="SI",Datos!K16,Datos!K16+Datos!AE16)," - ")</f>
        <v>100</v>
      </c>
      <c r="G16" s="1033" t="str">
        <f>IF(Datos!E16&lt;&gt;"",Datos!E16,Datos!D16)</f>
        <v>04</v>
      </c>
      <c r="H16" s="226">
        <f>IF(ISNUMBER(IF(D_I="SI",Datos!L16,Datos!L16+Datos!AF16)),IF(D_I="SI",Datos!L16,Datos!L16+Datos!AF16)," - ")</f>
        <v>303</v>
      </c>
      <c r="I16" s="1043" t="str">
        <f>IF(ISNUMBER(Datos!AS16/Datos!BM16),Datos!AS16/Datos!BM16," - ")</f>
        <v xml:space="preserve"> - </v>
      </c>
      <c r="J16" s="1044">
        <f>IF(ISNUMBER(Datos!BY16/Datos!CN16),Datos!BY16/Datos!CN16," - ")</f>
        <v>0</v>
      </c>
      <c r="K16" s="229">
        <f t="shared" si="3"/>
        <v>0.18823529411764706</v>
      </c>
      <c r="L16" s="1024">
        <f>IF(ISNUMBER(NºAsuntos!I16/NºAsuntos!G16),(NºAsuntos!I16/NºAsuntos!G16)*11," - ")</f>
        <v>33.33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v>
      </c>
      <c r="D17" s="224">
        <f>IF(ISNUMBER(IF(D_I="SI",Datos!I17,Datos!I17+Datos!AC17)),IF(D_I="SI",Datos!I17,Datos!I17+Datos!AC17)," - ")</f>
        <v>19</v>
      </c>
      <c r="E17" s="225">
        <f>IF(ISNUMBER(IF(D_I="SI",Datos!J17,Datos!J17+Datos!AD17)),IF(D_I="SI",Datos!J17,Datos!J17+Datos!AD17)," - ")</f>
        <v>20</v>
      </c>
      <c r="F17" s="225">
        <f>IF(ISNUMBER(IF(D_I="SI",Datos!K17,Datos!K17+Datos!AE17)),IF(D_I="SI",Datos!K17,Datos!K17+Datos!AE17)," - ")</f>
        <v>19</v>
      </c>
      <c r="G17" s="1033" t="str">
        <f>IF(Datos!E17&lt;&gt;"",Datos!E17,Datos!D17)</f>
        <v>37</v>
      </c>
      <c r="H17" s="226">
        <f>IF(ISNUMBER(IF(D_I="SI",Datos!L17,Datos!L17+Datos!AF17)),IF(D_I="SI",Datos!L17,Datos!L17+Datos!AF17)," - ")</f>
        <v>20</v>
      </c>
      <c r="I17" s="1043" t="str">
        <f>IF(ISNUMBER(Datos!AS17/Datos!BM17),Datos!AS17/Datos!BM17," - ")</f>
        <v xml:space="preserve"> - </v>
      </c>
      <c r="J17" s="1044" t="str">
        <f>IF(ISNUMBER((Datos!BY17+Datos!BZ17)/Datos!CN17),(Datos!BY17+Datos!BZ17)/Datos!CN17," - ")</f>
        <v xml:space="preserve"> - </v>
      </c>
      <c r="K17" s="229">
        <f t="shared" si="3"/>
        <v>5.2631578947368418E-2</v>
      </c>
      <c r="L17" s="1024">
        <f>IF(ISNUMBER(NºAsuntos!I17/NºAsuntos!G17),(NºAsuntos!I17/NºAsuntos!G17)*11," - ")</f>
        <v>11.578947368421051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274</v>
      </c>
      <c r="D18" s="1048">
        <f>SUBTOTAL(9,D15:D17)</f>
        <v>266</v>
      </c>
      <c r="E18" s="1049">
        <f>SUBTOTAL(9,E15:E17)</f>
        <v>168</v>
      </c>
      <c r="F18" s="1049">
        <f>SUBTOTAL(9,F15:F17)</f>
        <v>119</v>
      </c>
      <c r="G18" s="1051" t="str">
        <f ca="1">INDIRECT(CONCATENATE("G",ROW()-1))</f>
        <v>37</v>
      </c>
      <c r="H18" s="1052">
        <f ca="1">SUMIF(G$14:G17,G18,H$14:H17)</f>
        <v>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276</v>
      </c>
      <c r="D19" s="1070">
        <f>SUBTOTAL(9,D9:D18)</f>
        <v>268</v>
      </c>
      <c r="E19" s="1071">
        <f>SUBTOTAL(9,E9:E18)</f>
        <v>169</v>
      </c>
      <c r="F19" s="1071">
        <f>SUBTOTAL(9,F9:F18)</f>
        <v>120</v>
      </c>
      <c r="G19" s="1072"/>
      <c r="H19" s="1073">
        <f ca="1">SUMIF(B9:B18,"TOTAL",H9:H18)</f>
        <v>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R7/SjbL7ZQ9CFhDi2myI6/9l5NSqxQbMgsiSGymJXusc9Q/ss5l/1xFjT/i4I0JKGoJs24FptoHlrKSlmUN+A==" saltValue="IdDgbCVlLB+qRIVcqzQJo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mR+qPagAgru0sBqgmIyLVB2XkITzfw4UDN9aIxL5iu4jAGWirPC67xBk8ww08nhrnVAwl5t6ssmcARJFtTVlQ==" saltValue="Up4GyPsgubR/DQSw+Pmb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1</v>
      </c>
      <c r="L10" s="180">
        <v>2</v>
      </c>
      <c r="M10" s="180">
        <v>1</v>
      </c>
      <c r="N10" s="180">
        <v>0</v>
      </c>
      <c r="O10" s="180">
        <v>0</v>
      </c>
      <c r="P10" s="180">
        <v>0</v>
      </c>
      <c r="Q10" s="180">
        <v>0</v>
      </c>
      <c r="R10" s="180">
        <v>0</v>
      </c>
      <c r="S10" s="180">
        <v>2</v>
      </c>
      <c r="T10" s="180">
        <v>1</v>
      </c>
      <c r="U10" s="180">
        <v>1</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254</v>
      </c>
      <c r="J12" s="182">
        <v>79</v>
      </c>
      <c r="K12" s="182">
        <v>114</v>
      </c>
      <c r="L12" s="182">
        <v>219</v>
      </c>
      <c r="M12" s="182">
        <v>45</v>
      </c>
      <c r="N12" s="182">
        <v>36</v>
      </c>
      <c r="O12" s="180">
        <v>65</v>
      </c>
      <c r="P12" s="182">
        <v>72</v>
      </c>
      <c r="Q12" s="182">
        <v>18</v>
      </c>
      <c r="R12" s="182">
        <v>469</v>
      </c>
      <c r="S12" s="182">
        <v>276</v>
      </c>
      <c r="T12" s="182">
        <v>152</v>
      </c>
      <c r="U12" s="182">
        <v>116</v>
      </c>
      <c r="V12" s="182">
        <v>312</v>
      </c>
      <c r="W12" s="182">
        <v>54</v>
      </c>
      <c r="X12" s="188">
        <v>44</v>
      </c>
      <c r="Y12" s="190">
        <v>30</v>
      </c>
      <c r="Z12" s="180">
        <v>28</v>
      </c>
      <c r="AA12" s="180">
        <v>19</v>
      </c>
      <c r="AB12" s="180">
        <v>39</v>
      </c>
      <c r="AC12" s="182">
        <v>0</v>
      </c>
      <c r="AD12" s="182">
        <v>0</v>
      </c>
      <c r="AE12" s="182">
        <v>0</v>
      </c>
      <c r="AF12" s="188">
        <v>0</v>
      </c>
      <c r="AG12" s="201">
        <v>16</v>
      </c>
      <c r="AH12" s="182">
        <v>18</v>
      </c>
      <c r="AI12" s="182">
        <v>17</v>
      </c>
      <c r="AJ12" s="202">
        <v>17</v>
      </c>
      <c r="AK12" s="181">
        <v>0</v>
      </c>
      <c r="AL12" s="182">
        <v>0</v>
      </c>
      <c r="AM12" s="182">
        <v>0</v>
      </c>
      <c r="AN12" s="188">
        <v>0</v>
      </c>
      <c r="AO12" s="258">
        <v>2</v>
      </c>
      <c r="AP12" s="154">
        <v>2</v>
      </c>
      <c r="AQ12" s="154">
        <v>2</v>
      </c>
      <c r="AR12" s="153">
        <v>2</v>
      </c>
      <c r="AS12" s="339" t="s">
        <v>794</v>
      </c>
      <c r="AT12" s="202"/>
      <c r="AU12" s="201"/>
      <c r="AV12" s="202"/>
      <c r="AW12" s="201"/>
      <c r="AX12" s="202"/>
      <c r="AY12" s="126">
        <f t="shared" si="1"/>
        <v>292</v>
      </c>
      <c r="AZ12" s="127">
        <f t="shared" si="1"/>
        <v>170</v>
      </c>
      <c r="BA12" s="127">
        <f t="shared" si="1"/>
        <v>133</v>
      </c>
      <c r="BB12" s="127">
        <f t="shared" si="1"/>
        <v>329</v>
      </c>
      <c r="BC12" s="125">
        <f>IF(ISNUMBER(X12),X12," - ")</f>
        <v>44</v>
      </c>
      <c r="BD12" s="126">
        <f t="shared" si="2"/>
        <v>0.78235294117647058</v>
      </c>
      <c r="BE12" s="127">
        <f t="shared" si="3"/>
        <v>2.4736842105263159</v>
      </c>
      <c r="BF12" s="127">
        <f t="shared" si="4"/>
        <v>0.33082706766917291</v>
      </c>
      <c r="BG12" s="195">
        <f t="shared" si="5"/>
        <v>3.4736842105263159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256</v>
      </c>
      <c r="J13" s="183">
        <f t="shared" si="6"/>
        <v>80</v>
      </c>
      <c r="K13" s="183">
        <f t="shared" si="6"/>
        <v>115</v>
      </c>
      <c r="L13" s="183">
        <f t="shared" si="6"/>
        <v>221</v>
      </c>
      <c r="M13" s="183">
        <f t="shared" si="6"/>
        <v>46</v>
      </c>
      <c r="N13" s="183">
        <f t="shared" si="6"/>
        <v>36</v>
      </c>
      <c r="O13" s="183">
        <f t="shared" si="6"/>
        <v>65</v>
      </c>
      <c r="P13" s="183">
        <f t="shared" si="6"/>
        <v>72</v>
      </c>
      <c r="Q13" s="183">
        <f t="shared" si="6"/>
        <v>18</v>
      </c>
      <c r="R13" s="183">
        <f t="shared" si="6"/>
        <v>469</v>
      </c>
      <c r="S13" s="183">
        <f t="shared" si="6"/>
        <v>278</v>
      </c>
      <c r="T13" s="183">
        <f t="shared" si="6"/>
        <v>153</v>
      </c>
      <c r="U13" s="183">
        <f t="shared" si="6"/>
        <v>117</v>
      </c>
      <c r="V13" s="183">
        <f t="shared" si="6"/>
        <v>314</v>
      </c>
      <c r="W13" s="183">
        <f t="shared" si="6"/>
        <v>55</v>
      </c>
      <c r="X13" s="183">
        <f t="shared" si="6"/>
        <v>44</v>
      </c>
      <c r="Y13" s="183">
        <f t="shared" si="6"/>
        <v>30</v>
      </c>
      <c r="Z13" s="183">
        <f t="shared" si="6"/>
        <v>28</v>
      </c>
      <c r="AA13" s="183">
        <f t="shared" si="6"/>
        <v>19</v>
      </c>
      <c r="AB13" s="183">
        <f t="shared" si="6"/>
        <v>39</v>
      </c>
      <c r="AC13" s="183">
        <f t="shared" si="6"/>
        <v>0</v>
      </c>
      <c r="AD13" s="183">
        <f t="shared" si="6"/>
        <v>0</v>
      </c>
      <c r="AE13" s="183">
        <f t="shared" si="6"/>
        <v>0</v>
      </c>
      <c r="AF13" s="183">
        <f>SUBTOTAL(9,AF9:AF12)</f>
        <v>0</v>
      </c>
      <c r="AG13" s="183">
        <f t="shared" ref="AG13:AT13" si="7">SUBTOTAL(9,AG8:AG12)</f>
        <v>16</v>
      </c>
      <c r="AH13" s="183">
        <f t="shared" si="7"/>
        <v>18</v>
      </c>
      <c r="AI13" s="183">
        <f t="shared" si="7"/>
        <v>17</v>
      </c>
      <c r="AJ13" s="183">
        <f t="shared" si="7"/>
        <v>17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294</v>
      </c>
      <c r="AZ13" s="183">
        <f>SUBTOTAL(9,AZ8:AZ12)</f>
        <v>171</v>
      </c>
      <c r="BA13" s="183">
        <f>SUBTOTAL(9,BA8:BA12)</f>
        <v>134</v>
      </c>
      <c r="BB13" s="183">
        <f>SUBTOTAL(9,BB8:BB12)</f>
        <v>331</v>
      </c>
      <c r="BC13" s="183">
        <f>SUBTOTAL(9,BC8:BC12)</f>
        <v>45</v>
      </c>
      <c r="BD13" s="204">
        <f>IF(ISNUMBER(BA13/AZ13),BA13/AZ13," - ")</f>
        <v>0.783625730994152</v>
      </c>
      <c r="BE13" s="205">
        <f>IF(ISNUMBER(BB13/BA13),BB13/BA13, " - ")</f>
        <v>2.4701492537313432</v>
      </c>
      <c r="BF13" s="205">
        <f>IF(ISNUMBER(BC13/BA13),BC13/BA13, " - ")</f>
        <v>0.33582089552238809</v>
      </c>
      <c r="BG13" s="206">
        <f>IF(ISNUMBER((AY13+AZ13)/BA13),(AY13+AZ13)/BA13," - ")</f>
        <v>3.4701492537313432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247</v>
      </c>
      <c r="J16" s="182">
        <v>148</v>
      </c>
      <c r="K16" s="182">
        <v>100</v>
      </c>
      <c r="L16" s="182">
        <v>303</v>
      </c>
      <c r="M16" s="182">
        <v>18</v>
      </c>
      <c r="N16" s="182">
        <v>43</v>
      </c>
      <c r="O16" s="180">
        <v>1</v>
      </c>
      <c r="P16" s="182">
        <v>7</v>
      </c>
      <c r="Q16" s="182">
        <v>1</v>
      </c>
      <c r="R16" s="182">
        <v>45</v>
      </c>
      <c r="S16" s="182">
        <v>293</v>
      </c>
      <c r="T16" s="182">
        <v>160</v>
      </c>
      <c r="U16" s="182">
        <v>146</v>
      </c>
      <c r="V16" s="182">
        <v>312</v>
      </c>
      <c r="W16" s="182">
        <v>21</v>
      </c>
      <c r="X16" s="188">
        <v>56</v>
      </c>
      <c r="Y16" s="201">
        <v>0</v>
      </c>
      <c r="Z16" s="182">
        <v>0</v>
      </c>
      <c r="AA16" s="182">
        <v>0</v>
      </c>
      <c r="AB16" s="182">
        <v>0</v>
      </c>
      <c r="AC16" s="182">
        <v>0</v>
      </c>
      <c r="AD16" s="182">
        <v>1</v>
      </c>
      <c r="AE16" s="182">
        <v>1</v>
      </c>
      <c r="AF16" s="188">
        <v>0</v>
      </c>
      <c r="AG16" s="201">
        <v>0</v>
      </c>
      <c r="AH16" s="182">
        <v>0</v>
      </c>
      <c r="AI16" s="182">
        <v>0</v>
      </c>
      <c r="AJ16" s="202">
        <v>0</v>
      </c>
      <c r="AK16" s="181">
        <v>0</v>
      </c>
      <c r="AL16" s="182">
        <v>3</v>
      </c>
      <c r="AM16" s="182">
        <v>3</v>
      </c>
      <c r="AN16" s="188">
        <v>0</v>
      </c>
      <c r="AO16" s="258">
        <v>2</v>
      </c>
      <c r="AP16" s="154">
        <v>2</v>
      </c>
      <c r="AQ16" s="154">
        <v>2</v>
      </c>
      <c r="AR16" s="154">
        <v>2</v>
      </c>
      <c r="AS16" s="339" t="s">
        <v>487</v>
      </c>
      <c r="AT16" s="202"/>
      <c r="AU16" s="201"/>
      <c r="AV16" s="202"/>
      <c r="AW16" s="201"/>
      <c r="AX16" s="202"/>
      <c r="AY16" s="126">
        <f t="shared" si="9"/>
        <v>293</v>
      </c>
      <c r="AZ16" s="127">
        <f t="shared" si="9"/>
        <v>160</v>
      </c>
      <c r="BA16" s="127">
        <f t="shared" si="9"/>
        <v>146</v>
      </c>
      <c r="BB16" s="127">
        <f t="shared" si="9"/>
        <v>312</v>
      </c>
      <c r="BC16" s="125">
        <f>IF(ISNUMBER(W16),W16," - ")</f>
        <v>21</v>
      </c>
      <c r="BD16" s="126">
        <f t="shared" ref="BD16" si="11">IF(ISNUMBER(BA16/AZ16),BA16/AZ16," - ")</f>
        <v>0.91249999999999998</v>
      </c>
      <c r="BE16" s="127">
        <f t="shared" ref="BE16" si="12">IF(ISNUMBER(BB16/BA16),BB16/BA16, " - ")</f>
        <v>2.1369863013698631</v>
      </c>
      <c r="BF16" s="127">
        <f t="shared" ref="BF16" si="13">IF(ISNUMBER(BC16/BA16),BC16/BA16, " - ")</f>
        <v>0.14383561643835616</v>
      </c>
      <c r="BG16" s="195">
        <f t="shared" si="10"/>
        <v>3.1027397260273974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v>
      </c>
      <c r="J17" s="182">
        <v>20</v>
      </c>
      <c r="K17" s="182">
        <v>19</v>
      </c>
      <c r="L17" s="182">
        <v>20</v>
      </c>
      <c r="M17" s="182">
        <v>1</v>
      </c>
      <c r="N17" s="182">
        <v>9</v>
      </c>
      <c r="O17" s="182">
        <v>0</v>
      </c>
      <c r="P17" s="182">
        <v>0</v>
      </c>
      <c r="Q17" s="182">
        <v>0</v>
      </c>
      <c r="R17" s="182">
        <v>0</v>
      </c>
      <c r="S17" s="182">
        <v>10</v>
      </c>
      <c r="T17" s="182">
        <v>14</v>
      </c>
      <c r="U17" s="182">
        <v>9</v>
      </c>
      <c r="V17" s="182">
        <v>15</v>
      </c>
      <c r="W17" s="182">
        <v>1</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14</v>
      </c>
      <c r="BA17" s="129">
        <f t="shared" si="14"/>
        <v>9</v>
      </c>
      <c r="BB17" s="129">
        <f t="shared" si="14"/>
        <v>15</v>
      </c>
      <c r="BC17" s="125">
        <f>IF(ISNUMBER(W17),W17," - ")</f>
        <v>1</v>
      </c>
      <c r="BD17" s="126">
        <f>IF(ISNUMBER(BA17/AZ17),BA17/AZ17," - ")</f>
        <v>0.6428571428571429</v>
      </c>
      <c r="BE17" s="127">
        <f>IF(ISNUMBER(BB17/BA17),BB17/BA17, " - ")</f>
        <v>1.6666666666666667</v>
      </c>
      <c r="BF17" s="127">
        <f>IF(ISNUMBER(BC17/BA17),BC17/BA17, " - ")</f>
        <v>0.1111111111111111</v>
      </c>
      <c r="BG17" s="195">
        <f>IF(ISNUMBER((AY17+AZ17)/BA17),(AY17+AZ17)/BA17," - ")</f>
        <v>2.6666666666666665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266</v>
      </c>
      <c r="J18" s="183">
        <f t="shared" si="15"/>
        <v>168</v>
      </c>
      <c r="K18" s="183">
        <f t="shared" si="15"/>
        <v>119</v>
      </c>
      <c r="L18" s="183">
        <f t="shared" si="15"/>
        <v>323</v>
      </c>
      <c r="M18" s="183">
        <f t="shared" si="15"/>
        <v>19</v>
      </c>
      <c r="N18" s="183">
        <f t="shared" si="15"/>
        <v>52</v>
      </c>
      <c r="O18" s="183">
        <f t="shared" si="15"/>
        <v>1</v>
      </c>
      <c r="P18" s="183">
        <f t="shared" si="15"/>
        <v>7</v>
      </c>
      <c r="Q18" s="183">
        <f t="shared" si="15"/>
        <v>1</v>
      </c>
      <c r="R18" s="183">
        <f t="shared" si="15"/>
        <v>45</v>
      </c>
      <c r="S18" s="183">
        <f t="shared" si="15"/>
        <v>303</v>
      </c>
      <c r="T18" s="183">
        <f t="shared" si="15"/>
        <v>174</v>
      </c>
      <c r="U18" s="183">
        <f t="shared" si="15"/>
        <v>155</v>
      </c>
      <c r="V18" s="183">
        <f t="shared" si="15"/>
        <v>327</v>
      </c>
      <c r="W18" s="183">
        <f t="shared" si="15"/>
        <v>22</v>
      </c>
      <c r="X18" s="183">
        <f t="shared" si="15"/>
        <v>64</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303</v>
      </c>
      <c r="AZ18" s="183">
        <f>SUBTOTAL(9,AZ14:AZ17)</f>
        <v>174</v>
      </c>
      <c r="BA18" s="183">
        <f>SUBTOTAL(9,BA14:BA17)</f>
        <v>155</v>
      </c>
      <c r="BB18" s="183">
        <f>SUBTOTAL(9,BB14:BB17)</f>
        <v>327</v>
      </c>
      <c r="BC18" s="183">
        <f>SUBTOTAL(9,BC14:BC17)</f>
        <v>22</v>
      </c>
      <c r="BD18" s="204">
        <f>IF(ISNUMBER(BA18/AZ18),BA18/AZ18," - ")</f>
        <v>0.89080459770114939</v>
      </c>
      <c r="BE18" s="205">
        <f>IF(ISNUMBER(BB18/BA18),BB18/BA18, " - ")</f>
        <v>2.1096774193548389</v>
      </c>
      <c r="BF18" s="205">
        <f>IF(ISNUMBER(BC18/BA18),BC18/BA18, " - ")</f>
        <v>0.14193548387096774</v>
      </c>
      <c r="BG18" s="206">
        <f>IF(ISNUMBER((AY18+AZ18)/BA18),(AY18+AZ18)/BA18," - ")</f>
        <v>3.0774193548387099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522</v>
      </c>
      <c r="J19" s="134">
        <f t="shared" si="18"/>
        <v>248</v>
      </c>
      <c r="K19" s="134">
        <f t="shared" si="18"/>
        <v>234</v>
      </c>
      <c r="L19" s="134">
        <f t="shared" si="18"/>
        <v>544</v>
      </c>
      <c r="M19" s="134">
        <f t="shared" si="18"/>
        <v>65</v>
      </c>
      <c r="N19" s="134">
        <f t="shared" si="18"/>
        <v>88</v>
      </c>
      <c r="O19" s="134">
        <f t="shared" si="18"/>
        <v>66</v>
      </c>
      <c r="P19" s="134">
        <f t="shared" si="18"/>
        <v>79</v>
      </c>
      <c r="Q19" s="134">
        <f t="shared" si="18"/>
        <v>19</v>
      </c>
      <c r="R19" s="134">
        <f t="shared" si="18"/>
        <v>514</v>
      </c>
      <c r="S19" s="134">
        <f t="shared" si="18"/>
        <v>581</v>
      </c>
      <c r="T19" s="134">
        <f t="shared" si="18"/>
        <v>327</v>
      </c>
      <c r="U19" s="134">
        <f t="shared" si="18"/>
        <v>272</v>
      </c>
      <c r="V19" s="134">
        <f t="shared" si="18"/>
        <v>641</v>
      </c>
      <c r="W19" s="134">
        <f t="shared" si="18"/>
        <v>77</v>
      </c>
      <c r="X19" s="134">
        <f t="shared" si="18"/>
        <v>108</v>
      </c>
      <c r="Y19" s="134">
        <f t="shared" si="18"/>
        <v>30</v>
      </c>
      <c r="Z19" s="134">
        <f t="shared" si="18"/>
        <v>28</v>
      </c>
      <c r="AA19" s="134">
        <f t="shared" si="18"/>
        <v>19</v>
      </c>
      <c r="AB19" s="134">
        <f t="shared" si="18"/>
        <v>39</v>
      </c>
      <c r="AC19" s="134">
        <f t="shared" si="18"/>
        <v>0</v>
      </c>
      <c r="AD19" s="134">
        <f t="shared" si="18"/>
        <v>1</v>
      </c>
      <c r="AE19" s="134">
        <f t="shared" si="18"/>
        <v>1</v>
      </c>
      <c r="AF19" s="134">
        <f t="shared" si="18"/>
        <v>0</v>
      </c>
      <c r="AG19" s="134">
        <f t="shared" si="18"/>
        <v>16</v>
      </c>
      <c r="AH19" s="134">
        <f t="shared" si="18"/>
        <v>18</v>
      </c>
      <c r="AI19" s="134">
        <f t="shared" si="18"/>
        <v>17</v>
      </c>
      <c r="AJ19" s="134">
        <f t="shared" si="18"/>
        <v>17</v>
      </c>
      <c r="AK19" s="134">
        <f t="shared" si="18"/>
        <v>0</v>
      </c>
      <c r="AL19" s="134">
        <f t="shared" si="18"/>
        <v>3</v>
      </c>
      <c r="AM19" s="134">
        <f t="shared" si="18"/>
        <v>3</v>
      </c>
      <c r="AN19" s="209">
        <f t="shared" si="18"/>
        <v>0</v>
      </c>
      <c r="AO19" s="210">
        <v>3</v>
      </c>
      <c r="AP19" s="210">
        <v>2</v>
      </c>
      <c r="AQ19" s="210">
        <v>2</v>
      </c>
      <c r="AR19" s="210">
        <v>2</v>
      </c>
      <c r="AS19" s="152">
        <f t="shared" si="18"/>
        <v>0</v>
      </c>
      <c r="AT19" s="152">
        <f t="shared" si="18"/>
        <v>0</v>
      </c>
      <c r="AU19" s="210"/>
      <c r="AV19" s="211"/>
      <c r="AW19" s="210"/>
      <c r="AX19" s="211"/>
      <c r="AY19" s="133">
        <f>SUBTOTAL(9,AY9:AY18)</f>
        <v>597</v>
      </c>
      <c r="AZ19" s="134">
        <f>SUBTOTAL(9,AZ9:AZ18)</f>
        <v>345</v>
      </c>
      <c r="BA19" s="134">
        <f>SUBTOTAL(9,BA9:BA18)</f>
        <v>289</v>
      </c>
      <c r="BB19" s="134">
        <f>SUBTOTAL(9,BB9:BB18)</f>
        <v>658</v>
      </c>
      <c r="BC19" s="135">
        <f>SUBTOTAL(9,BC9:BC18)</f>
        <v>67</v>
      </c>
      <c r="BD19" s="212">
        <f>IF(ISNUMBER(BA19/AZ19),BA19/AZ19," - ")</f>
        <v>0.83768115942028987</v>
      </c>
      <c r="BE19" s="209">
        <f>IF(ISNUMBER(BB19/BA19),BB19/BA19, " - ")</f>
        <v>2.2768166089965396</v>
      </c>
      <c r="BF19" s="209">
        <f>IF(ISNUMBER(BC19/BA19),BC19/BA19, " - ")</f>
        <v>0.23183391003460208</v>
      </c>
      <c r="BG19" s="135">
        <f>IF(ISNUMBER((AY19+AZ19)/BA19),(AY19+AZ19)/BA19," - ")</f>
        <v>3.2595155709342563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KO1vJWkQvWuBVv0LPfXLaRrXa7oUpzDphEQh+//7YoRWPAprP0kUbh3qk3zc/gSB9IJNNd4ysFc0JyMK2KPXg==" saltValue="N01PhA+Y3VgH6ecfU0Z8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P6hO2wwbWD5Zddd6xFmQNmzRgMKoC+IYeT6knzFbLC0MEGzLWpHsNNNpN/Qc94DVb1RCtNecsNoOr/FgLiYVg==" saltValue="Zr9M7vklGq2RGfENEdzI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CIUDAD RODRIGO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39</v>
      </c>
      <c r="AI12" s="333" t="str">
        <f>IF(ISNUMBER(Datos!CD12),Datos!CD12,"-")</f>
        <v>-</v>
      </c>
      <c r="AJ12" s="333" t="str">
        <f>IF(ISNUMBER(Datos!EN12),Datos!EN12," - ")</f>
        <v xml:space="preserve"> - </v>
      </c>
      <c r="AK12" s="333"/>
      <c r="AL12" s="478"/>
      <c r="AM12" s="334">
        <f>IF(ISNUMBER(Datos!R12),Datos!R12," - ")</f>
        <v>469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45</v>
      </c>
      <c r="BD12" s="228">
        <f>IF(ISNUMBER(Datos!N12),Datos!N12," - ")</f>
        <v>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1.2429906542056075</v>
      </c>
      <c r="BH12" s="259">
        <f>IF(ISNUMBER(((IF(J_V="SI",Datos!L12/Datos!K12,(Datos!L12+Datos!AB12)/(Datos!K12+Datos!AA12)))*11)/factor_trimestre),((IF(J_V="SI",Datos!L12/Datos!K12,(Datos!L12+Datos!AB12)/(Datos!K12+Datos!AA12)))*11)/factor_trimestre," - ")</f>
        <v>3.8796992481203008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0.13012048192771083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18</v>
      </c>
      <c r="AD13" s="898">
        <f t="shared" si="1"/>
        <v>0</v>
      </c>
      <c r="AE13" s="898">
        <f t="shared" si="1"/>
        <v>0</v>
      </c>
      <c r="AF13" s="898">
        <f t="shared" si="1"/>
        <v>2</v>
      </c>
      <c r="AG13" s="898">
        <f t="shared" si="1"/>
        <v>0</v>
      </c>
      <c r="AH13" s="898">
        <f t="shared" si="1"/>
        <v>39</v>
      </c>
      <c r="AI13" s="898">
        <f t="shared" si="1"/>
        <v>0</v>
      </c>
      <c r="AJ13" s="898">
        <f t="shared" si="1"/>
        <v>0</v>
      </c>
      <c r="AK13" s="898">
        <f t="shared" si="1"/>
        <v>0</v>
      </c>
      <c r="AL13" s="898">
        <f t="shared" si="1"/>
        <v>0</v>
      </c>
      <c r="AM13" s="898">
        <f t="shared" si="1"/>
        <v>469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46</v>
      </c>
      <c r="BD13" s="898">
        <f t="shared" si="1"/>
        <v>36</v>
      </c>
      <c r="BE13" s="898">
        <f t="shared" si="1"/>
        <v>0</v>
      </c>
      <c r="BF13" s="898">
        <f t="shared" si="1"/>
        <v>0</v>
      </c>
      <c r="BG13" s="898">
        <f>IF(ISNUMBER(Datos!K13/Datos!J13),Datos!K13/Datos!J13," - ")</f>
        <v>1.4375</v>
      </c>
      <c r="BH13" s="902">
        <f>IF(ISNUMBER(((Datos!L13/Datos!K13)*11)/factor_trimestre),((Datos!L13/Datos!K13)*11)/factor_trimestre," - ")</f>
        <v>3.8434782608695652</v>
      </c>
      <c r="BI13" s="898">
        <f>IF(ISNUMBER('Resol  Asuntos'!D13/NºAsuntos!G13),'Resol  Asuntos'!D13/NºAsuntos!G13," - ")</f>
        <v>0.34328358208955223</v>
      </c>
      <c r="BJ13" s="898" t="str">
        <f>IF(ISNUMBER(Datos!CI13/Datos!CJ13),Datos!CI13/Datos!CJ13," - ")</f>
        <v xml:space="preserve"> - </v>
      </c>
      <c r="BK13" s="898">
        <f>SUBTOTAL(9,BK8:BK12)</f>
        <v>0</v>
      </c>
      <c r="BL13" s="898">
        <f>IF(ISNUMBER((I13-AB13+L13)/(F13)),(I13-AB13+L13)/(F13)," - ")</f>
        <v>-0.5</v>
      </c>
      <c r="BM13" s="903">
        <f>SUBTOTAL(9,BM9:BM12)</f>
        <v>0.13012048192771083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255</v>
      </c>
      <c r="G16" s="597">
        <f>IF(ISNUMBER(IF(D_I="SI",Datos!I16,Datos!I16+Datos!AC16)),IF(D_I="SI",Datos!I16,Datos!I16+Datos!AC16)," - ")</f>
        <v>247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100</v>
      </c>
      <c r="AC16" s="225">
        <f>IF(ISNUMBER(Datos!Q16),Datos!Q16," - ")</f>
        <v>1</v>
      </c>
      <c r="AD16" s="333"/>
      <c r="AE16" s="483"/>
      <c r="AF16" s="595">
        <f>IF(ISNUMBER(IF(D_I="SI",Datos!L16,Datos!L16+Datos!AF16)),IF(D_I="SI",Datos!L16,Datos!L16+Datos!AF16)," - ")</f>
        <v>303</v>
      </c>
      <c r="AG16" s="333"/>
      <c r="AH16" s="333"/>
      <c r="AI16" s="333"/>
      <c r="AJ16" s="333"/>
      <c r="AK16" s="333"/>
      <c r="AL16" s="478"/>
      <c r="AM16" s="334">
        <f>IF(ISNUMBER(Datos!R16),Datos!R16," - ")</f>
        <v>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v>
      </c>
      <c r="BD16" s="228">
        <f>IF(ISNUMBER(Datos!N16),Datos!N16," - ")</f>
        <v>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0.67567567567567566</v>
      </c>
      <c r="BH16" s="259">
        <f>IF(ISNUMBER(((IF(D_I="SI",Datos!L16/Datos!K16,(Datos!L16+Datos!AF16)/(Datos!K16+Datos!AE16)))*11)/factor_trimestre),((IF(D_I="SI",Datos!L16/Datos!K16,(Datos!L16+Datos!AF16)/(Datos!K16+Datos!AE16)))*11)/factor_trimestre," - ")</f>
        <v>6.06</v>
      </c>
      <c r="BI16" s="242">
        <f>IF(ISNUMBER('Resol  Asuntos'!D16/NºAsuntos!G16),'Resol  Asuntos'!D16/NºAsuntos!G16," - ")</f>
        <v>0.18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v>
      </c>
      <c r="AC17" s="225">
        <f>IF(ISNUMBER(Datos!Q17),Datos!Q17," - ")</f>
        <v>0</v>
      </c>
      <c r="AD17" s="333"/>
      <c r="AE17" s="483"/>
      <c r="AF17" s="331">
        <f>IF(ISNUMBER(Datos!L17),Datos!L17,"-")</f>
        <v>20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v>
      </c>
      <c r="BH17" s="259">
        <f>IF(ISNUMBER(((IF(D_I="SI",Datos!L17/Datos!K17,(Datos!L17+Datos!AF17)/(Datos!K17+Datos!AE17)))*11)/factor_trimestre),((IF(D_I="SI",Datos!L17/Datos!K17,(Datos!L17+Datos!AF17)/(Datos!K17+Datos!AE17)))*11)/factor_trimestre," - ")</f>
        <v>2.1052631578947367</v>
      </c>
      <c r="BI17" s="242">
        <f>IF(ISNUMBER('Resol  Asuntos'!D17/NºAsuntos!G17),'Resol  Asuntos'!D17/NºAsuntos!G17," - ")</f>
        <v>5.2631578947368418E-2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255</v>
      </c>
      <c r="G18" s="897">
        <f>SUBTOTAL(9,G15:G17)</f>
        <v>266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119</v>
      </c>
      <c r="AC18" s="898">
        <f t="shared" si="4"/>
        <v>1</v>
      </c>
      <c r="AD18" s="898">
        <f t="shared" si="4"/>
        <v>0</v>
      </c>
      <c r="AE18" s="898">
        <f t="shared" si="4"/>
        <v>0</v>
      </c>
      <c r="AF18" s="898">
        <f t="shared" si="4"/>
        <v>323</v>
      </c>
      <c r="AG18" s="898">
        <f t="shared" si="4"/>
        <v>0</v>
      </c>
      <c r="AH18" s="898">
        <f t="shared" si="4"/>
        <v>0</v>
      </c>
      <c r="AI18" s="898">
        <f t="shared" si="4"/>
        <v>0</v>
      </c>
      <c r="AJ18" s="898">
        <f t="shared" si="4"/>
        <v>0</v>
      </c>
      <c r="AK18" s="898">
        <f t="shared" si="4"/>
        <v>0</v>
      </c>
      <c r="AL18" s="898">
        <f t="shared" si="4"/>
        <v>0</v>
      </c>
      <c r="AM18" s="898">
        <f t="shared" si="4"/>
        <v>45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v>
      </c>
      <c r="BD18" s="898">
        <f t="shared" si="4"/>
        <v>52</v>
      </c>
      <c r="BE18" s="898">
        <f t="shared" si="4"/>
        <v>0</v>
      </c>
      <c r="BF18" s="898">
        <f t="shared" si="4"/>
        <v>0</v>
      </c>
      <c r="BG18" s="898">
        <f>IF(ISNUMBER(Datos!K18/Datos!J18),Datos!K18/Datos!J18," - ")</f>
        <v>0.70833333333333337</v>
      </c>
      <c r="BH18" s="902">
        <f>IF(ISNUMBER(((Datos!L18/Datos!K18)*11)/factor_trimestre),((Datos!L18/Datos!K18)*11)/factor_trimestre," - ")</f>
        <v>5.4285714285714288</v>
      </c>
      <c r="BI18" s="898">
        <f>SUBTOTAL(9,BI15:BI17)</f>
        <v>0.23263157894736841</v>
      </c>
      <c r="BJ18" s="898">
        <f>SUBTOTAL(9,BJ15:BJ17)</f>
        <v>0</v>
      </c>
      <c r="BK18" s="898">
        <f>SUBTOTAL(9,BK15:BK17)</f>
        <v>0</v>
      </c>
      <c r="BL18" s="898">
        <f>IF(ISNUMBER((I18-AB18+L18)/(F18)),(I18-AB18+L18)/(F18)," - ")</f>
        <v>-0.46666666666666667</v>
      </c>
      <c r="BM18" s="904">
        <f>IF(ISNUMBER((Datos!P18-Datos!Q18)/(Datos!R18-Datos!P18+Datos!Q18)),(Datos!P18-Datos!Q18)/(Datos!R18-Datos!P18+Datos!Q18)," - ")</f>
        <v>0.15384615384615385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257</v>
      </c>
      <c r="G19" s="819">
        <f t="shared" si="6"/>
        <v>268</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79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120</v>
      </c>
      <c r="AC19" s="820">
        <f t="shared" si="7"/>
        <v>19</v>
      </c>
      <c r="AD19" s="820">
        <f t="shared" si="7"/>
        <v>0</v>
      </c>
      <c r="AE19" s="820">
        <f t="shared" si="7"/>
        <v>0</v>
      </c>
      <c r="AF19" s="827">
        <f t="shared" si="7"/>
        <v>325</v>
      </c>
      <c r="AG19" s="827">
        <f t="shared" si="7"/>
        <v>0</v>
      </c>
      <c r="AH19" s="827">
        <f t="shared" si="7"/>
        <v>39</v>
      </c>
      <c r="AI19" s="827">
        <f t="shared" si="7"/>
        <v>0</v>
      </c>
      <c r="AJ19" s="820">
        <f t="shared" si="7"/>
        <v>0</v>
      </c>
      <c r="AK19" s="827">
        <f t="shared" si="7"/>
        <v>0</v>
      </c>
      <c r="AL19" s="827">
        <f t="shared" si="7"/>
        <v>0</v>
      </c>
      <c r="AM19" s="827">
        <f t="shared" si="7"/>
        <v>514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65</v>
      </c>
      <c r="BD19" s="819">
        <f t="shared" si="7"/>
        <v>88</v>
      </c>
      <c r="BE19" s="819">
        <f t="shared" si="7"/>
        <v>0</v>
      </c>
      <c r="BF19" s="829">
        <f t="shared" si="7"/>
        <v>0</v>
      </c>
      <c r="BG19" s="914">
        <f>IF(ISNUMBER(Datos!K19/Datos!J19),Datos!K19/Datos!J19," - ")</f>
        <v>0.94354838709677424</v>
      </c>
      <c r="BH19" s="914">
        <f>IF(ISNUMBER(((Datos!L19/Datos!K19)*11)/factor_trimestre),((Datos!L19/Datos!K19)*11)/factor_trimestre," - ")</f>
        <v>4.6495726495726499</v>
      </c>
      <c r="BI19" s="812">
        <f>IF(ISNUMBER(Datos!J19/Datos!I19),Datos!J19/Datos!I19," - ")</f>
        <v>0.47509578544061304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-0.46692607003891051</v>
      </c>
      <c r="BM19" s="888">
        <f>IF(ISNUMBER((Datos!P19-Datos!Q19+R19)/(Datos!R19-Datos!P19+Datos!Q19-R19)),(Datos!P19-Datos!Q19+R19)/(Datos!R19-Datos!P19+Datos!Q19-R19)," - ")</f>
        <v>0.13215859030837004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146.06961810497532</v>
      </c>
      <c r="G21" s="551">
        <f>IF(ISNUMBER(STDEV(G8:G18)),STDEV(G8:G18),"-")</f>
        <v>136.63345124822106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57.01754116059373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20.056586615540212</v>
      </c>
      <c r="BD21" s="550"/>
      <c r="BE21" s="550">
        <f>IF(ISNUMBER(STDEV(BE8:BE18)),STDEV(BE8:BE18),"-")</f>
        <v>0</v>
      </c>
      <c r="BF21" s="555">
        <f>IF(ISNUMBER(STDEV(BF8:BF18)),STDEV(BF8:BF18),"-")</f>
        <v>0</v>
      </c>
      <c r="BG21" s="774">
        <f>IF(ISNUMBER(STDEV(BG8:BG18)),STDEV(BG8:BG18),"-")</f>
        <v>0.29771509192019618</v>
      </c>
      <c r="BH21" s="775">
        <f>IF(ISNUMBER(STDEV(BH8:BH18)),STDEV(BH8:BH18),"-")</f>
        <v>1.3873952964570202</v>
      </c>
      <c r="BI21" s="248">
        <f>IF(ISNUMBER(STDEV(BI8:BI18)),STDEV(BI8:BI18),"-")</f>
        <v>0.12068442964120343</v>
      </c>
      <c r="BJ21" s="229" t="str">
        <f>IF(ISNUMBER(BL21/BM21),BL21/BM21," - ")</f>
        <v xml:space="preserve"> - </v>
      </c>
      <c r="BK21" s="574"/>
      <c r="BL21" s="558">
        <f>IF(ISNUMBER(STDEV(BL8:BL18)),STDEV(BL8:BL18),"-")</f>
        <v>2.357022603955158E-2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nWv7lKGz3fkMDrRQyTsf/U7rnv8AaAXtiM+wsLrYs17zDE4D7ZOhfGEX8MRLSnzh9ZdFMBVckPt0XhRSBOcJMA==" saltValue="wwzWNnVU70WCPMGsqnW6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CIUDAD RODRIGO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469</v>
      </c>
      <c r="AF12" s="228" t="str">
        <f>IF(ISNUMBER(Datos!BV12),Datos!BV12," - ")</f>
        <v xml:space="preserve"> - </v>
      </c>
      <c r="AG12" s="224" t="str">
        <f>IF(ISNUMBER(Datos!DV12),Datos!DV12," - ")</f>
        <v xml:space="preserve"> - </v>
      </c>
      <c r="AH12" s="297"/>
      <c r="AI12" s="226"/>
      <c r="AJ12" s="224">
        <f>IF(ISNUMBER(Datos!M12),Datos!M12," - ")</f>
        <v>45</v>
      </c>
      <c r="AK12" s="228">
        <f>IF(ISNUMBER(Datos!N12),Datos!N12," - ")</f>
        <v>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3.8796992481203008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0.13012048192771083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18</v>
      </c>
      <c r="AA13" s="899">
        <f t="shared" si="2"/>
        <v>2</v>
      </c>
      <c r="AB13" s="899">
        <f t="shared" si="2"/>
        <v>0</v>
      </c>
      <c r="AC13" s="899">
        <f t="shared" si="2"/>
        <v>0</v>
      </c>
      <c r="AD13" s="899">
        <f t="shared" si="2"/>
        <v>0</v>
      </c>
      <c r="AE13" s="899">
        <f t="shared" si="2"/>
        <v>469</v>
      </c>
      <c r="AF13" s="907">
        <f t="shared" si="2"/>
        <v>0</v>
      </c>
      <c r="AG13" s="907">
        <f t="shared" si="2"/>
        <v>0</v>
      </c>
      <c r="AH13" s="907">
        <f t="shared" si="2"/>
        <v>0</v>
      </c>
      <c r="AI13" s="907">
        <f t="shared" si="2"/>
        <v>0</v>
      </c>
      <c r="AJ13" s="907">
        <f t="shared" si="2"/>
        <v>46</v>
      </c>
      <c r="AK13" s="907">
        <f t="shared" si="2"/>
        <v>36</v>
      </c>
      <c r="AL13" s="907">
        <f t="shared" si="2"/>
        <v>0</v>
      </c>
      <c r="AM13" s="907">
        <f t="shared" si="2"/>
        <v>0</v>
      </c>
      <c r="AN13" s="907">
        <f t="shared" si="2"/>
        <v>0</v>
      </c>
      <c r="AO13" s="903">
        <f>IF(ISNUMBER(((NºAsuntos!I13/NºAsuntos!G13)*11)/factor_trimestre),((NºAsuntos!I13/NºAsuntos!G13)*11)/factor_trimestre," - ")</f>
        <v>3.8805970149253728</v>
      </c>
      <c r="AP13" s="909" t="str">
        <f>IF(ISNUMBER(Datos!CI13/Datos!CJ13),Datos!CI13/Datos!CJ13," - ")</f>
        <v xml:space="preserve"> - </v>
      </c>
      <c r="AQ13" s="927">
        <f t="shared" ref="AQ13:AV13" si="3">SUBTOTAL(9,AQ9:AQ12)</f>
        <v>0</v>
      </c>
      <c r="AR13" s="927">
        <f t="shared" si="3"/>
        <v>0.13012048192771083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255</v>
      </c>
      <c r="G16" s="224">
        <f>IF(ISNUMBER(IF(D_I="SI",Datos!I16,Datos!I16+Datos!AC16)),IF(D_I="SI",Datos!I16,Datos!I16+Datos!AC16)," - ")</f>
        <v>247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100</v>
      </c>
      <c r="Z16" s="618">
        <f>IF(ISNUMBER(Datos!Q16),Datos!Q16," - ")</f>
        <v>1</v>
      </c>
      <c r="AA16" s="331">
        <f>IF(ISNUMBER(IF(D_I="SI",Datos!L16,Datos!L16+Datos!AF16)),IF(D_I="SI",Datos!L16,Datos!L16+Datos!AF16)," - ")</f>
        <v>303</v>
      </c>
      <c r="AB16" s="333"/>
      <c r="AC16" s="333"/>
      <c r="AD16" s="483"/>
      <c r="AE16" s="483">
        <f>IF(ISNUMBER(Datos!R16),Datos!R16," - ")</f>
        <v>45</v>
      </c>
      <c r="AF16" s="228" t="str">
        <f>IF(ISNUMBER(Datos!BV16),Datos!BV16," - ")</f>
        <v xml:space="preserve"> - </v>
      </c>
      <c r="AG16" s="224"/>
      <c r="AH16" s="297"/>
      <c r="AI16" s="226"/>
      <c r="AJ16" s="224">
        <f>IF(ISNUMBER(Datos!M16),Datos!M16," - ")</f>
        <v>18</v>
      </c>
      <c r="AK16" s="228">
        <f>IF(ISNUMBER(Datos!N16),Datos!N16," - ")</f>
        <v>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v>
      </c>
      <c r="Z17" s="618">
        <f>IF(ISNUMBER(Datos!Q17),Datos!Q17," - ")</f>
        <v>0</v>
      </c>
      <c r="AA17" s="331">
        <f>IF(ISNUMBER(Datos!L17),Datos!L17,"-")</f>
        <v>20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2.1052631578947367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255</v>
      </c>
      <c r="G18" s="897">
        <f>SUBTOTAL(9,G15:G17)</f>
        <v>266</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119</v>
      </c>
      <c r="Z18" s="931">
        <f t="shared" si="5"/>
        <v>1</v>
      </c>
      <c r="AA18" s="931">
        <f t="shared" si="5"/>
        <v>323</v>
      </c>
      <c r="AB18" s="931">
        <f t="shared" si="5"/>
        <v>0</v>
      </c>
      <c r="AC18" s="931">
        <f t="shared" si="5"/>
        <v>0</v>
      </c>
      <c r="AD18" s="931">
        <f t="shared" si="5"/>
        <v>0</v>
      </c>
      <c r="AE18" s="931">
        <f t="shared" si="5"/>
        <v>45</v>
      </c>
      <c r="AF18" s="931">
        <f t="shared" si="5"/>
        <v>0</v>
      </c>
      <c r="AG18" s="931">
        <f t="shared" si="5"/>
        <v>0</v>
      </c>
      <c r="AH18" s="931">
        <f t="shared" si="5"/>
        <v>0</v>
      </c>
      <c r="AI18" s="931">
        <f t="shared" si="5"/>
        <v>0</v>
      </c>
      <c r="AJ18" s="931">
        <f t="shared" si="5"/>
        <v>19</v>
      </c>
      <c r="AK18" s="931">
        <f t="shared" si="5"/>
        <v>52</v>
      </c>
      <c r="AL18" s="931">
        <f t="shared" si="5"/>
        <v>0</v>
      </c>
      <c r="AM18" s="931">
        <f t="shared" si="5"/>
        <v>0</v>
      </c>
      <c r="AN18" s="931">
        <f t="shared" si="5"/>
        <v>0</v>
      </c>
      <c r="AO18" s="933">
        <f>IF(ISNUMBER(((NºAsuntos!I18/NºAsuntos!G18)*11)/factor_trimestre),((NºAsuntos!I18/NºAsuntos!G18)*11)/factor_trimestre," - ")</f>
        <v>5.4285714285714288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257</v>
      </c>
      <c r="G19" s="819">
        <f t="shared" si="7"/>
        <v>268</v>
      </c>
      <c r="H19" s="820">
        <f t="shared" si="7"/>
        <v>0</v>
      </c>
      <c r="I19" s="819">
        <f t="shared" si="7"/>
        <v>0</v>
      </c>
      <c r="J19" s="821">
        <f t="shared" si="7"/>
        <v>0</v>
      </c>
      <c r="K19" s="819">
        <f t="shared" si="7"/>
        <v>0</v>
      </c>
      <c r="L19" s="822">
        <f t="shared" si="7"/>
        <v>0</v>
      </c>
      <c r="M19" s="819">
        <f t="shared" si="7"/>
        <v>0</v>
      </c>
      <c r="N19" s="820">
        <f t="shared" si="7"/>
        <v>79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120</v>
      </c>
      <c r="Z19" s="826">
        <f t="shared" si="8"/>
        <v>19</v>
      </c>
      <c r="AA19" s="827">
        <f t="shared" si="8"/>
        <v>325</v>
      </c>
      <c r="AB19" s="827">
        <f t="shared" si="8"/>
        <v>0</v>
      </c>
      <c r="AC19" s="827">
        <f t="shared" si="8"/>
        <v>0</v>
      </c>
      <c r="AD19" s="828">
        <f t="shared" si="8"/>
        <v>0</v>
      </c>
      <c r="AE19" s="828">
        <f t="shared" si="8"/>
        <v>514</v>
      </c>
      <c r="AF19" s="829">
        <f t="shared" si="8"/>
        <v>0</v>
      </c>
      <c r="AG19" s="830">
        <f t="shared" si="8"/>
        <v>0</v>
      </c>
      <c r="AH19" s="831">
        <f t="shared" si="8"/>
        <v>0</v>
      </c>
      <c r="AI19" s="829">
        <f t="shared" si="8"/>
        <v>0</v>
      </c>
      <c r="AJ19" s="819">
        <f t="shared" si="8"/>
        <v>65</v>
      </c>
      <c r="AK19" s="819">
        <f t="shared" si="8"/>
        <v>88</v>
      </c>
      <c r="AL19" s="819">
        <f t="shared" si="8"/>
        <v>0</v>
      </c>
      <c r="AM19" s="832">
        <f t="shared" si="8"/>
        <v>0</v>
      </c>
      <c r="AN19" s="822">
        <f>IF(ISNUMBER(Datos!K19/Datos!J19),Datos!K19/Datos!J19," - ")</f>
        <v>0.94354838709677424</v>
      </c>
      <c r="AO19" s="822">
        <f>IF(ISNUMBER(FIND("06",Criterios!A8,1)),(IF(ISNUMBER(((Datos!R19/Datos!Q19)*11)/factor_trimestre),((Datos!R19/Datos!Q19)*11)/factor_trimestre," - ")),(IF(ISNUMBER(((Datos!L19/Datos!K19)*11)/factor_trimestre),((Datos!L19/Datos!K19)*11)/factor_trimestre," - ")))</f>
        <v>4.6495726495726499</v>
      </c>
      <c r="AP19" s="833" t="str">
        <f>IF(ISNUMBER(Datos!CI19/Datos!CJ19),Datos!CI19/Datos!CJ19," - ")</f>
        <v xml:space="preserve"> - </v>
      </c>
      <c r="AQ19" s="833">
        <f>IF(OR(ISNUMBER(FIND("01",Criterios!A8,1)),ISNUMBER(FIND("02",Criterios!A8,1)),ISNUMBER(FIND("03",Criterios!A8,1)),ISNUMBER(FIND("04",Criterios!A8,1))),(J19-Y19+K19)/(F19-K19),(I19-Y19+K19)/(F19-K19))</f>
        <v>-0.46692607003891051</v>
      </c>
      <c r="AR19" s="833">
        <f>IF(ISNUMBER((Datos!P19-Datos!Q19+O19)/(Datos!R19-Datos!P19+Datos!Q19-O19)),(Datos!P19-Datos!Q19+O19)/(Datos!R19-Datos!P19+Datos!Q19-O19)," - ")</f>
        <v>0.13215859030837004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146.06961810497532</v>
      </c>
      <c r="G21" s="551">
        <f>IF(ISNUMBER(STDEV(G8:G18)),STDEV(G8:G18),"-")</f>
        <v>136.63345124822106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20.056586615540212</v>
      </c>
      <c r="AK21" s="251"/>
      <c r="AL21" s="251">
        <f>IF(ISNUMBER(STDEV(AL8:AL18)),STDEV(AL8:AL18),"-")</f>
        <v>0</v>
      </c>
      <c r="AM21" s="253">
        <f>IF(ISNUMBER(STDEV(AM8:AM18)),STDEV(AM8:AM18),"-")</f>
        <v>0</v>
      </c>
      <c r="AN21" s="538">
        <f>IF(ISNUMBER(STDEV(AN8:AN18)),STDEV(AN8:AN18),"-")</f>
        <v>0</v>
      </c>
      <c r="AO21" s="539">
        <f>IF(ISNUMBER(STDEV(AO8:AO18)),STDEV(AO8:AO18),"-")</f>
        <v>1.3854646617537794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p0UAfp8MwES466aroTvYJpbvm0BWM4c2jkkLC+2I8M6jDXlvWqovG8mIB85Ac53PYz1RUJ6Wdf5uu5yl6Ybng==" saltValue="tAwDSXt3oIrACpboB1e7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LqkXgUU8+aWGANtiYzPpZqLdnBq/j8OljBv6wwnaiQrpyQ/TPRMkbUT4iXgGhalZZRS8AvYZBSklPP8KGKZzg==" saltValue="gKGt38MYRuR+H2tXAC3w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sVDy9HLv2kL10H93jZWONSAn8VdFtN0QSa7P+m04EUngkKV42HbMl4rNcGn6piqEIgHAldB0txR6Rt5WDPAPg==" saltValue="EvmC38l3CCBFWfY9C+9Y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CIUDAD RODRIGO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0.34328358208955223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0.24273814876553124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ckgoAf5h1jE+U4ncoZL1W9N2nPX8mvedzC8RHWCGdH3PpTTVorCKBPETxZFKPrGe60iavUjdf/xg2IOs10pcg==" saltValue="1z9CwGn/baV/IFgkev8y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ZWvVbFjfEEHo1lePH9uIIoUeWndsslE/9dx80Iwitv6hd1zSd3OXO5pMlX3I8GXmbT4V2ggu2gSkV5z4hKO2g==" saltValue="zNhJOyLL8KkRKCqyJT/p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CIUDAD RODRIGO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1</v>
      </c>
      <c r="H10" s="403">
        <f>IF(ISNUMBER(G10/B10),G10/B10," - ")</f>
        <v>1</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284</v>
      </c>
      <c r="D12" s="403">
        <f>IF(ISNUMBER(C12/Datos!BH12),C12/Datos!BH12," - ")</f>
        <v>142</v>
      </c>
      <c r="E12" s="402">
        <f>IF(ISNUMBER(IF(J_V="SI",Datos!J12,Datos!J12+Datos!Z12)),IF(J_V="SI",Datos!J12,Datos!J12+Datos!Z12)," - ")</f>
        <v>107</v>
      </c>
      <c r="F12" s="403">
        <f>IF(ISNUMBER(E12/B12),E12/B12," - ")</f>
        <v>53.5</v>
      </c>
      <c r="G12" s="402">
        <f>IF(ISNUMBER(IF(J_V="SI",Datos!K12,Datos!K12+Datos!AA12)),IF(J_V="SI",Datos!K12,Datos!K12+Datos!AA12)," - ")</f>
        <v>133</v>
      </c>
      <c r="H12" s="403">
        <f>IF(ISNUMBER(G12/B12),G12/B12," - ")</f>
        <v>66.5</v>
      </c>
      <c r="I12" s="402">
        <f>IF(ISNUMBER(IF(J_V="SI",Datos!L12,Datos!L12+Datos!AB12)),IF(J_V="SI",Datos!L12,Datos!L12+Datos!AB12)," - ")</f>
        <v>258</v>
      </c>
      <c r="J12" s="403">
        <f>IF(ISNUMBER(I12/B12),I12/B12," - ")</f>
        <v>129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286</v>
      </c>
      <c r="D13" s="849" t="str">
        <f>IF(ISNUMBER(C13/Datos!BI13),C13/Datos!BI13," - ")</f>
        <v xml:space="preserve"> - </v>
      </c>
      <c r="E13" s="848">
        <f>SUBTOTAL(9,E8:E12)</f>
        <v>108</v>
      </c>
      <c r="F13" s="849">
        <f>IF(ISNUMBER(E13/B13),E13/B13," - ")</f>
        <v>54</v>
      </c>
      <c r="G13" s="848">
        <f>SUBTOTAL(9,G8:G12)</f>
        <v>134</v>
      </c>
      <c r="H13" s="849">
        <f>IF(ISNUMBER(G13/B13),G13/B13," - ")</f>
        <v>67</v>
      </c>
      <c r="I13" s="848">
        <f>SUBTOTAL(9,I8:I12)</f>
        <v>260</v>
      </c>
      <c r="J13" s="849">
        <f>IF(ISNUMBER(I13/B13),I13/B13," - ")</f>
        <v>130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247</v>
      </c>
      <c r="D16" s="403">
        <f>IF(ISNUMBER(C16/Datos!BH16),C16/Datos!BH16," - ")</f>
        <v>123.5</v>
      </c>
      <c r="E16" s="402">
        <f>IF(ISNUMBER(IF(D_I="SI",Datos!J16,Datos!J16+Datos!AD16)),IF(D_I="SI",Datos!J16,Datos!J16+Datos!AD16)," - ")</f>
        <v>148</v>
      </c>
      <c r="F16" s="403">
        <f>IF(ISNUMBER(E16/B16),E16/B16," - ")</f>
        <v>74</v>
      </c>
      <c r="G16" s="402">
        <f>IF(ISNUMBER(IF(D_I="SI",Datos!K16,Datos!K16+Datos!AE16)),IF(D_I="SI",Datos!K16,Datos!K16+Datos!AE16)," - ")</f>
        <v>100</v>
      </c>
      <c r="H16" s="403">
        <f>IF(ISNUMBER(G16/B16),G16/B16," - ")</f>
        <v>50</v>
      </c>
      <c r="I16" s="402">
        <f>IF(ISNUMBER(IF(D_I="SI",Datos!L16,Datos!L16+Datos!AF16)),IF(D_I="SI",Datos!L16,Datos!L16+Datos!AF16)," - ")</f>
        <v>303</v>
      </c>
      <c r="J16" s="403">
        <f>IF(ISNUMBER(I16/B16),I16/B16," - ")</f>
        <v>151.5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v>
      </c>
      <c r="D17" s="403">
        <f>IF(ISNUMBER(C17/Datos!BH17),C17/Datos!BH17," - ")</f>
        <v>19</v>
      </c>
      <c r="E17" s="402">
        <f>IF(ISNUMBER(IF(D_I="SI",Datos!J17,Datos!J17+Datos!AD17)),IF(D_I="SI",Datos!J17,Datos!J17+Datos!AD17)," - ")</f>
        <v>20</v>
      </c>
      <c r="F17" s="403">
        <f>IF(ISNUMBER(E17/B17),E17/B17," - ")</f>
        <v>20</v>
      </c>
      <c r="G17" s="402">
        <f>IF(ISNUMBER(IF(D_I="SI",Datos!K17,Datos!K17+Datos!AE17)),IF(D_I="SI",Datos!K17,Datos!K17+Datos!AE17)," - ")</f>
        <v>19</v>
      </c>
      <c r="H17" s="403">
        <f>IF(ISNUMBER(G17/B17),G17/B17," - ")</f>
        <v>19</v>
      </c>
      <c r="I17" s="402">
        <f>IF(ISNUMBER(IF(D_I="SI",Datos!L17,Datos!L17+Datos!AF17)),IF(D_I="SI",Datos!L17,Datos!L17+Datos!AF17)," - ")</f>
        <v>20</v>
      </c>
      <c r="J17" s="403">
        <f>IF(ISNUMBER(I17/B17),I17/B17," - ")</f>
        <v>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266</v>
      </c>
      <c r="D18" s="849" t="str">
        <f>IF(ISNUMBER(C18/Datos!BI18),C18/Datos!BI18," - ")</f>
        <v xml:space="preserve"> - </v>
      </c>
      <c r="E18" s="848">
        <f>SUBTOTAL(9,E14:E17)</f>
        <v>168</v>
      </c>
      <c r="F18" s="849">
        <f>IF(ISNUMBER(E18/B18),E18/B18," - ")</f>
        <v>84</v>
      </c>
      <c r="G18" s="848">
        <f>SUBTOTAL(9,G14:G17)</f>
        <v>119</v>
      </c>
      <c r="H18" s="849">
        <f>IF(ISNUMBER(G18/B18),G18/B18," - ")</f>
        <v>59.5</v>
      </c>
      <c r="I18" s="848">
        <f>SUBTOTAL(9,I14:I17)</f>
        <v>323</v>
      </c>
      <c r="J18" s="849">
        <f>IF(ISNUMBER(I18/B18),I18/B18," - ")</f>
        <v>161.5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552</v>
      </c>
      <c r="D19" s="794" t="str">
        <f>IF(ISNUMBER(C19/Datos!BI19),C19/Datos!BI19," - ")</f>
        <v xml:space="preserve"> - </v>
      </c>
      <c r="E19" s="793">
        <f>SUBTOTAL(9,E9:E18)</f>
        <v>276</v>
      </c>
      <c r="F19" s="794">
        <f>IF(ISNUMBER(E19/B19),E19/B19," - ")</f>
        <v>138</v>
      </c>
      <c r="G19" s="793">
        <f>SUBTOTAL(9,G9:G18)</f>
        <v>253</v>
      </c>
      <c r="H19" s="794">
        <f>IF(ISNUMBER(G19/B19),G19/B19," - ")</f>
        <v>126.5</v>
      </c>
      <c r="I19" s="793">
        <f>SUBTOTAL(9,I9:I18)</f>
        <v>583</v>
      </c>
      <c r="J19" s="794">
        <f>IF(ISNUMBER(I19/B19),I19/B19," - ")</f>
        <v>291.5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BOASEfJYF1SoYhdZpbRP49o2SdCdaIwFkSj92WqRv8axyrGRjEkrWpPXvT2ftrfY3Q329TsJ/tkjJem5Z2h9g==" saltValue="7GrQx/AkCuNBiwq9ewoE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CIUDAD RODRIGO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45</v>
      </c>
      <c r="AM12" s="689">
        <f>IF(ISNUMBER(Datos!N12+DatosP!N16),Datos!N12+DatosP!N16," - ")</f>
        <v>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3.8796992481203008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0.13012048192771083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18</v>
      </c>
      <c r="AE13" s="938">
        <f t="shared" si="1"/>
        <v>0</v>
      </c>
      <c r="AF13" s="938">
        <f t="shared" si="1"/>
        <v>2</v>
      </c>
      <c r="AG13" s="938">
        <f t="shared" si="1"/>
        <v>0</v>
      </c>
      <c r="AH13" s="938">
        <f t="shared" si="1"/>
        <v>469</v>
      </c>
      <c r="AI13" s="938">
        <f t="shared" si="1"/>
        <v>0</v>
      </c>
      <c r="AJ13" s="938">
        <f t="shared" si="1"/>
        <v>0</v>
      </c>
      <c r="AK13" s="938">
        <f t="shared" si="1"/>
        <v>0</v>
      </c>
      <c r="AL13" s="938">
        <f t="shared" si="1"/>
        <v>46</v>
      </c>
      <c r="AM13" s="938">
        <f t="shared" si="1"/>
        <v>36</v>
      </c>
      <c r="AN13" s="938">
        <f t="shared" si="1"/>
        <v>0</v>
      </c>
      <c r="AO13" s="938">
        <f t="shared" si="1"/>
        <v>0</v>
      </c>
      <c r="AP13" s="943">
        <f>IF(ISNUMBER(((Datos!L13/Datos!K13)*11)/factor_trimestre),((Datos!L13/Datos!K13)*11)/factor_trimestre," - ")</f>
        <v>3.8434782608695652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0.13012048192771083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5.4285714285714288</v>
      </c>
      <c r="AQ18" s="943">
        <f>IF(ISNUMBER(((Datos!M18/Datos!L18)*11)/factor_trimestre),((Datos!M18/Datos!L18)*11)/factor_trimestre," - ")</f>
        <v>0.11764705882352942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0.15384615384615385</v>
      </c>
      <c r="AW18" s="945">
        <f>IF(ISNUMBER((Datos!Q18-Datos!R18)/(Datos!S18-Datos!Q18+Datos!R18)),(Datos!Q18-Datos!R18)/(Datos!S18-Datos!Q18+Datos!R18)," - ")</f>
        <v>-0.12680115273775217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18</v>
      </c>
      <c r="AE19" s="956">
        <f t="shared" si="5"/>
        <v>0</v>
      </c>
      <c r="AF19" s="957">
        <f t="shared" si="5"/>
        <v>2</v>
      </c>
      <c r="AG19" s="957">
        <f t="shared" si="5"/>
        <v>0</v>
      </c>
      <c r="AH19" s="957">
        <f t="shared" si="5"/>
        <v>469</v>
      </c>
      <c r="AI19" s="957">
        <f t="shared" si="5"/>
        <v>0</v>
      </c>
      <c r="AJ19" s="958">
        <f t="shared" si="5"/>
        <v>0</v>
      </c>
      <c r="AK19" s="958">
        <f t="shared" si="5"/>
        <v>0</v>
      </c>
      <c r="AL19" s="950">
        <f t="shared" si="5"/>
        <v>46</v>
      </c>
      <c r="AM19" s="950">
        <f t="shared" si="5"/>
        <v>36</v>
      </c>
      <c r="AN19" s="950">
        <f t="shared" si="5"/>
        <v>0</v>
      </c>
      <c r="AO19" s="950">
        <f t="shared" si="5"/>
        <v>0</v>
      </c>
      <c r="AP19" s="950">
        <f>IF(ISNUMBER(((Datos!L19/Datos!K19)*11)/factor_trimestre),((Datos!L19/Datos!K19)*11)/factor_trimestre," - ")</f>
        <v>4.6495726495726499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0.13215859030837004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25.987176324743967</v>
      </c>
      <c r="AM21" s="735"/>
      <c r="AN21" s="735">
        <f>IF(ISNUMBER(STDEV(AN8:AN18)),STDEV(AN8:AN18),"-")</f>
        <v>0</v>
      </c>
      <c r="AO21" s="741">
        <f>IF(ISNUMBER(STDEV(AO8:AO18)),STDEV(AO8:AO18),"-")</f>
        <v>0</v>
      </c>
      <c r="AP21" s="778">
        <f>IF(ISNUMBER(STDEV(AP8:AP18)),STDEV(AP8:AP18),"-")</f>
        <v>0.76336017022557601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CLZHIGeT/yGVjUBABldYm7THda6cRosDC61WAcBNu7/vVZNoMbVtj0Z4WsCHFeNqjwdDS9XlIceuJaliIHJhQ==" saltValue="wPJsZDkfj9Y/C3J97y6e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SALAMANCA</v>
      </c>
      <c r="C3" s="414"/>
      <c r="F3" s="374"/>
      <c r="G3" s="374"/>
      <c r="H3" s="374"/>
    </row>
    <row r="4" spans="1:15" ht="13.5" thickBot="1">
      <c r="A4" s="374"/>
      <c r="B4" s="390" t="str">
        <f>Criterios!A11 &amp;"  "&amp;Criterios!B11</f>
        <v>Resumenes por Partidos Judiciales  CIUDAD RODRIGO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2+VHPaguAqWX5v+jjyz6cADGoBmZyd1+xTDLiC7ocJDVFATB5tH2g0VY47nOe3Jia11QYi3LIwqjurTgwNO+rg==" saltValue="w+Pk2HrD21jLvWdqtCJ9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CIUDAD RODRIGO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45</v>
      </c>
      <c r="E12" s="403">
        <f t="shared" si="0"/>
        <v>22.5</v>
      </c>
      <c r="F12" s="402">
        <f>IF(ISNUMBER(Datos!N12),Datos!N12," - ")</f>
        <v>36</v>
      </c>
      <c r="G12" s="403">
        <f t="shared" si="1"/>
        <v>18</v>
      </c>
      <c r="H12" s="402">
        <f>IF(ISNUMBER(Datos!O12),Datos!O12," - ")</f>
        <v>65</v>
      </c>
      <c r="I12" s="403">
        <f t="shared" si="2"/>
        <v>32.5</v>
      </c>
      <c r="BZ12" s="1185">
        <f>Datos!EZ12</f>
        <v>0</v>
      </c>
    </row>
    <row r="13" spans="1:78" ht="14.25" thickTop="1" thickBot="1">
      <c r="A13" s="847" t="str">
        <f>Datos!A13</f>
        <v>TOTAL</v>
      </c>
      <c r="B13" s="848">
        <f>Datos!AP13</f>
        <v>2</v>
      </c>
      <c r="C13" s="850">
        <f>Datos!AR13</f>
        <v>2</v>
      </c>
      <c r="D13" s="848">
        <f>SUBTOTAL(9,D9:D12)</f>
        <v>46</v>
      </c>
      <c r="E13" s="849">
        <f t="shared" si="0"/>
        <v>23</v>
      </c>
      <c r="F13" s="848">
        <f>SUBTOTAL(9,F9:F12)</f>
        <v>36</v>
      </c>
      <c r="G13" s="849">
        <f t="shared" si="1"/>
        <v>18</v>
      </c>
      <c r="H13" s="848">
        <f>SUBTOTAL(9,H9:H12)</f>
        <v>65</v>
      </c>
      <c r="I13" s="849">
        <f>IF(ISNUMBER(H13/B13),H13/B13," - ")</f>
        <v>32.5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18</v>
      </c>
      <c r="E16" s="403">
        <f t="shared" si="3"/>
        <v>9</v>
      </c>
      <c r="F16" s="402">
        <f>IF(ISNUMBER(Datos!N16),Datos!N16," - ")</f>
        <v>43</v>
      </c>
      <c r="G16" s="403">
        <f t="shared" si="4"/>
        <v>21.5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19</v>
      </c>
      <c r="E18" s="849">
        <f t="shared" si="3"/>
        <v>9.5</v>
      </c>
      <c r="F18" s="848">
        <f>SUBTOTAL(9,F15:F17)</f>
        <v>52</v>
      </c>
      <c r="G18" s="849">
        <f t="shared" si="4"/>
        <v>26</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65</v>
      </c>
      <c r="E19" s="794">
        <f>IF(ISNUMBER(D19/B19),D19/B19," - ")</f>
        <v>32.5</v>
      </c>
      <c r="F19" s="793">
        <f>SUBTOTAL(9,F8:F18)</f>
        <v>88</v>
      </c>
      <c r="G19" s="794">
        <f>IF(ISNUMBER(F19/B19),F19/B19," - ")</f>
        <v>44</v>
      </c>
      <c r="H19" s="793">
        <f>SUBTOTAL(9,H8:H18)</f>
        <v>66</v>
      </c>
      <c r="I19" s="794">
        <f>IF(ISNUMBER(H19/B19),H19/B19," - ")</f>
        <v>33</v>
      </c>
    </row>
    <row r="22" spans="1:78">
      <c r="A22" s="390" t="str">
        <f>Criterios!A4</f>
        <v>Fecha Informe: 09 dic. 2025</v>
      </c>
    </row>
    <row r="27" spans="1:78">
      <c r="A27" s="413"/>
    </row>
  </sheetData>
  <sheetProtection algorithmName="SHA-512" hashValue="LyEOaaxHuRmbBRwshXubzo5Vfk1Bz6hOHBPLh4pbkjk/xORpcxGZgzvUH+9J/bu6gEu9GwFfIj1SVZEyrco47A==" saltValue="PfmpC/xFjk5eVfkEyA8y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CIUDAD RODRIGO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72</v>
      </c>
      <c r="C12" s="433">
        <f>IF(ISNUMBER(Datos!Q12),Datos!Q12," - ")</f>
        <v>18</v>
      </c>
      <c r="D12" s="407">
        <f>IF(ISNUMBER(Datos!R12),Datos!R12," - ")</f>
        <v>469</v>
      </c>
    </row>
    <row r="13" spans="1:4" ht="14.25" thickTop="1" thickBot="1">
      <c r="A13" s="847" t="str">
        <f>Datos!A13</f>
        <v>TOTAL</v>
      </c>
      <c r="B13" s="848">
        <f>SUBTOTAL(9,B9:B12)</f>
        <v>72</v>
      </c>
      <c r="C13" s="852">
        <f>SUBTOTAL(9,C9:C12)</f>
        <v>18</v>
      </c>
      <c r="D13" s="850">
        <f>SUBTOTAL(9,D9:D12)</f>
        <v>469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1</v>
      </c>
      <c r="D16" s="407">
        <f>IF(ISNUMBER(Datos!R16),Datos!R16," - ")</f>
        <v>45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1</v>
      </c>
      <c r="D18" s="850">
        <f>SUBTOTAL(9,D15:D17)</f>
        <v>45</v>
      </c>
    </row>
    <row r="19" spans="1:4" ht="16.5" customHeight="1" thickTop="1" thickBot="1">
      <c r="A19" s="792" t="str">
        <f>Datos!A19</f>
        <v>TOTAL JURISDICCIONES</v>
      </c>
      <c r="B19" s="797">
        <f>SUBTOTAL(9,B8:B18)</f>
        <v>79</v>
      </c>
      <c r="C19" s="798">
        <f>SUBTOTAL(9,C8:C18)</f>
        <v>19</v>
      </c>
      <c r="D19" s="799">
        <f>SUBTOTAL(9,D8:D18)</f>
        <v>514</v>
      </c>
    </row>
    <row r="20" spans="1:4" ht="7.5" customHeight="1"/>
    <row r="21" spans="1:4" ht="6" customHeight="1"/>
    <row r="22" spans="1:4">
      <c r="A22" s="390" t="str">
        <f>Criterios!A4</f>
        <v>Fecha Informe: 09 dic. 2025</v>
      </c>
    </row>
    <row r="27" spans="1:4">
      <c r="A27" s="413"/>
    </row>
  </sheetData>
  <sheetProtection algorithmName="SHA-512" hashValue="H4S3ws4tlVQuJQNhlIwPkIR4NTH/gHk8ZCDS5YHsePXVrGvjROgdmyoYUb4LlVGPnQHgh5v0uSY/hzl5PKblgg==" saltValue="SoBUsH8ONwpWjwEWBybU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CIUDAD RODRIGO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0</v>
      </c>
      <c r="E10" s="455">
        <f>IF(ISNUMBER((Datos!L10-Datos!V10)/Datos!V10),(Datos!L10-Datos!V10)/Datos!V10," - ")</f>
        <v>0</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v>
      </c>
      <c r="J10" s="460">
        <f>IF(ISNUMBER((('Resol  Asuntos'!D10/NºAsuntos!G10)-Datos!BF10)/Datos!BF10),(('Resol  Asuntos'!D10/NºAsuntos!G10)-Datos!BF10)/Datos!BF10," - ")</f>
        <v>0</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-2.7397260273972601E-2</v>
      </c>
      <c r="C12" s="455">
        <f>IF(ISNUMBER(
   IF(J_V="SI",(Datos!J12-Datos!T12)/Datos!T12,(Datos!J12+Datos!Z12-(Datos!T12+Datos!AH12))/(Datos!T12+Datos!AH12))
     ),IF(J_V="SI",(Datos!J12-Datos!T12)/Datos!T12,(Datos!J12+Datos!Z12-(Datos!T12+Datos!AH12))/(Datos!T12+Datos!AH12))," - ")</f>
        <v>-0.37058823529411766</v>
      </c>
      <c r="D12" s="455">
        <f>IF(ISNUMBER(
   IF(J_V="SI",(Datos!K12-Datos!U12)/Datos!U12,(Datos!K12+Datos!AA12-(Datos!U12+Datos!AI12))/(Datos!U12+Datos!AI12))
     ),IF(J_V="SI",(Datos!K12-Datos!U12)/Datos!U12,(Datos!K12+Datos!AA12-(Datos!U12+Datos!AI12))/(Datos!U12+Datos!AI12))," - ")</f>
        <v>0</v>
      </c>
      <c r="E12" s="455">
        <f>IF(ISNUMBER(
   IF(J_V="SI",(Datos!L12-Datos!V12)/Datos!V12,(Datos!L12+Datos!AB12-(Datos!V12+Datos!AJ12))/(Datos!V12+Datos!AJ12))
     ),IF(J_V="SI",(Datos!L12-Datos!V12)/Datos!V12,(Datos!L12+Datos!AB12-(Datos!V12+Datos!AJ12))/(Datos!V12+Datos!AJ12))," - ")</f>
        <v>-0.21580547112462006</v>
      </c>
      <c r="F12" s="455">
        <f>IF(ISNUMBER((Datos!M12-Datos!W12)/Datos!W12),(Datos!M12-Datos!W12)/Datos!W12," - ")</f>
        <v>-0.16666666666666666</v>
      </c>
      <c r="G12" s="456">
        <f>IF(ISNUMBER((Datos!N12-Datos!X12)/Datos!X12),(Datos!N12-Datos!X12)/Datos!X12," - ")</f>
        <v>-0.18181818181818182</v>
      </c>
      <c r="H12" s="454">
        <f>IF(ISNUMBER(((NºAsuntos!G12/NºAsuntos!E12)-Datos!BD12)/Datos!BD12),((NºAsuntos!G12/NºAsuntos!E12)-Datos!BD12)/Datos!BD12," - ")</f>
        <v>0.58878504672897203</v>
      </c>
      <c r="I12" s="455">
        <f>IF(ISNUMBER(((NºAsuntos!I12/NºAsuntos!G12)-Datos!BE12)/Datos!BE12),((NºAsuntos!I12/NºAsuntos!G12)-Datos!BE12)/Datos!BE12," - ")</f>
        <v>-0.21580547112462009</v>
      </c>
      <c r="J12" s="460">
        <f>IF(ISNUMBER((('Resol  Asuntos'!D12/NºAsuntos!G12)-Datos!BF12)/Datos!BF12),(('Resol  Asuntos'!D12/NºAsuntos!G12)-Datos!BF12)/Datos!BF12," - ")</f>
        <v>2.2727272727272728E-2</v>
      </c>
      <c r="K12" s="461">
        <f>IF(ISNUMBER((((NºAsuntos!C12+NºAsuntos!E12)/NºAsuntos!G12)-Datos!BG12)/Datos!BG12),(((NºAsuntos!C12+NºAsuntos!E12)/NºAsuntos!G12)-Datos!BG12)/Datos!BG12," - ")</f>
        <v>-0.15367965367965372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-2.7210884353741496E-2</v>
      </c>
      <c r="C13" s="854">
        <f>IF(ISNUMBER(
   IF(J_V="SI",(Datos!J13-Datos!T13)/Datos!T13,(Datos!J13+Datos!Z13-(Datos!T13+Datos!AH13))/(Datos!T13+Datos!AH13))
     ),IF(J_V="SI",(Datos!J13-Datos!T13)/Datos!T13,(Datos!J13+Datos!Z13-(Datos!T13+Datos!AH13))/(Datos!T13+Datos!AH13))," - ")</f>
        <v>-0.36842105263157893</v>
      </c>
      <c r="D13" s="854">
        <f>IF(ISNUMBER(
   IF(J_V="SI",(Datos!K13-Datos!U13)/Datos!U13,(Datos!K13+Datos!AA13-(Datos!U13+Datos!AI13))/(Datos!U13+Datos!AI13))
     ),IF(J_V="SI",(Datos!K13-Datos!U13)/Datos!U13,(Datos!K13+Datos!AA13-(Datos!U13+Datos!AI13))/(Datos!U13+Datos!AI13))," - ")</f>
        <v>0</v>
      </c>
      <c r="E13" s="854">
        <f>IF(ISNUMBER(
   IF(J_V="SI",(Datos!L13-Datos!V13)/Datos!V13,(Datos!L13+Datos!AB13-(Datos!V13+Datos!AJ13))/(Datos!V13+Datos!AJ13))
     ),IF(J_V="SI",(Datos!L13-Datos!V13)/Datos!V13,(Datos!L13+Datos!AB13-(Datos!V13+Datos!AJ13))/(Datos!V13+Datos!AJ13))," - ")</f>
        <v>-0.21450151057401812</v>
      </c>
      <c r="F13" s="855">
        <f>IF(ISNUMBER((Datos!M13-Datos!W13)/Datos!W13),(Datos!M13-Datos!W13)/Datos!W13," - ")</f>
        <v>-0.16363636363636364</v>
      </c>
      <c r="G13" s="856">
        <f>IF(ISNUMBER((Datos!N13-Datos!X13)/Datos!X13),(Datos!N13-Datos!X13)/Datos!X13," - ")</f>
        <v>-0.18181818181818182</v>
      </c>
      <c r="H13" s="856">
        <f>IF(ISNUMBER(((NºAsuntos!G13/NºAsuntos!E13)-Datos!BD13)/Datos!BD13),((NºAsuntos!G13/NºAsuntos!E13)-Datos!BD13)/Datos!BD13," - ")</f>
        <v>0.58333333333333337</v>
      </c>
      <c r="I13" s="856">
        <f>IF(ISNUMBER(((NºAsuntos!I13/NºAsuntos!G13)-Datos!BE13)/Datos!BE13),((NºAsuntos!I13/NºAsuntos!G13)-Datos!BE13)/Datos!BE13," - ")</f>
        <v>-0.21450151057401809</v>
      </c>
      <c r="J13" s="856">
        <f>IF(ISNUMBER((('Resol  Asuntos'!D13/NºAsuntos!G13)-Datos!BF13)/Datos!BF13),(('Resol  Asuntos'!D13/NºAsuntos!G13)-Datos!BF13)/Datos!BF13," - ")</f>
        <v>2.2222222222222119E-2</v>
      </c>
      <c r="K13" s="856">
        <f>IF(ISNUMBER((((NºAsuntos!C13+NºAsuntos!E13)/NºAsuntos!G13)-Datos!BG13)/Datos!BG13),(((NºAsuntos!C13+NºAsuntos!E13)/NºAsuntos!G13)-Datos!BG13)/Datos!BG13," - ")</f>
        <v>-0.15268817204301077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-0.15699658703071673</v>
      </c>
      <c r="C16" s="455">
        <f>IF(ISNUMBER(
   IF(D_I="SI",(Datos!J16-Datos!T16)/Datos!T16,(Datos!J16+Datos!AD16-(Datos!T16+Datos!AL16))/(Datos!T16+Datos!AL16))
     ),IF(D_I="SI",(Datos!J16-Datos!T16)/Datos!T16,(Datos!J16+Datos!AD16-(Datos!T16+Datos!AL16))/(Datos!T16+Datos!AL16))," - ")</f>
        <v>-7.4999999999999997E-2</v>
      </c>
      <c r="D16" s="455">
        <f>IF(ISNUMBER(
   IF(D_I="SI",(Datos!K16-Datos!U16)/Datos!U16,(Datos!K16+Datos!AE16-(Datos!U16+Datos!AM16))/(Datos!U16+Datos!AM16))
     ),IF(D_I="SI",(Datos!K16-Datos!U16)/Datos!U16,(Datos!K16+Datos!AE16-(Datos!U16+Datos!AM16))/(Datos!U16+Datos!AM16))," - ")</f>
        <v>-0.31506849315068491</v>
      </c>
      <c r="E16" s="455">
        <f>IF(ISNUMBER(
   IF(D_I="SI",(Datos!L16-Datos!V16)/Datos!V16,(Datos!L16+Datos!AF16-(Datos!V16+Datos!AN16))/(Datos!V16+Datos!AN16))
     ),IF(D_I="SI",(Datos!L16-Datos!V16)/Datos!V16,(Datos!L16+Datos!AF16-(Datos!V16+Datos!AN16))/(Datos!V16+Datos!AN16))," - ")</f>
        <v>-2.8846153846153848E-2</v>
      </c>
      <c r="F16" s="455">
        <f>IF(ISNUMBER((Datos!M16-Datos!W16)/Datos!W16),(Datos!M16-Datos!W16)/Datos!W16," - ")</f>
        <v>-0.14285714285714285</v>
      </c>
      <c r="G16" s="456">
        <f>IF(ISNUMBER((Datos!N16-Datos!X16)/Datos!X16),(Datos!N16-Datos!X16)/Datos!X16," - ")</f>
        <v>-0.23214285714285715</v>
      </c>
      <c r="H16" s="454">
        <f>IF(ISNUMBER(((NºAsuntos!G16/NºAsuntos!E16)-Datos!BD16)/Datos!BD16),((NºAsuntos!G16/NºAsuntos!E16)-Datos!BD16)/Datos!BD16," - ")</f>
        <v>-0.25953350610884857</v>
      </c>
      <c r="I16" s="455">
        <f>IF(ISNUMBER(((NºAsuntos!I16/NºAsuntos!G16)-Datos!BE16)/Datos!BE16),((NºAsuntos!I16/NºAsuntos!G16)-Datos!BE16)/Datos!BE16," - ")</f>
        <v>0.41788461538461524</v>
      </c>
      <c r="J16" s="460">
        <f>IF(ISNUMBER((('Resol  Asuntos'!D16/NºAsuntos!G16)-Datos!BF16)/Datos!BF16),(('Resol  Asuntos'!D16/NºAsuntos!G16)-Datos!BF16)/Datos!BF16," - ")</f>
        <v>0.25142857142857145</v>
      </c>
      <c r="K16" s="461">
        <f>IF(ISNUMBER((((NºAsuntos!C16+NºAsuntos!E16)/NºAsuntos!G16)-Datos!BG16)/Datos!BG16),(((NºAsuntos!C16+NºAsuntos!E16)/NºAsuntos!G16)-Datos!BG16)/Datos!BG16," - ")</f>
        <v>0.27306843267108166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1.1111111111111112</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0</v>
      </c>
      <c r="G17" s="456">
        <f>IF(ISNUMBER((Datos!N17-Datos!X17)/Datos!X17),(Datos!N17-Datos!X17)/Datos!X17," - ")</f>
        <v>0.125</v>
      </c>
      <c r="H17" s="454">
        <f>IF(ISNUMBER(((NºAsuntos!G17/NºAsuntos!E17)-Datos!BD17)/Datos!BD17),((NºAsuntos!G17/NºAsuntos!E17)-Datos!BD17)/Datos!BD17," - ")</f>
        <v>0.47777777777777758</v>
      </c>
      <c r="I17" s="455">
        <f>IF(ISNUMBER(((NºAsuntos!I17/NºAsuntos!G17)-Datos!BE17)/Datos!BE17),((NºAsuntos!I17/NºAsuntos!G17)-Datos!BE17)/Datos!BE17," - ")</f>
        <v>-0.36842105263157904</v>
      </c>
      <c r="J17" s="460">
        <f>IF(ISNUMBER((('Resol  Asuntos'!D17/NºAsuntos!G17)-Datos!BF17)/Datos!BF17),(('Resol  Asuntos'!D17/NºAsuntos!G17)-Datos!BF17)/Datos!BF17," - ")</f>
        <v>-0.52631578947368418</v>
      </c>
      <c r="K17" s="461">
        <f>IF(ISNUMBER((((NºAsuntos!C17+NºAsuntos!E17)/NºAsuntos!G17)-Datos!BG17)/Datos!BG17),(((NºAsuntos!C17+NºAsuntos!E17)/NºAsuntos!G17)-Datos!BG17)/Datos!BG17," - ")</f>
        <v>-0.23026315789473673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-0.12211221122112212</v>
      </c>
      <c r="C18" s="854">
        <f>IF(ISNUMBER(
   IF(Criterios!B14="SI",(Datos!J18-Datos!T18)/Datos!T18,(Datos!J18+Datos!AD18-(Datos!T18+Datos!AL18))/(Datos!T18+Datos!AL18))
     ),IF(Criterios!B14="SI",(Datos!J18-Datos!T18)/Datos!T18,(Datos!J18+Datos!AD18-(Datos!T18+Datos!AL18))/(Datos!T18+Datos!AL18))," - ")</f>
        <v>-3.4482758620689655E-2</v>
      </c>
      <c r="D18" s="854">
        <f>IF(ISNUMBER(
   IF(Criterios!B14="SI",(Datos!K18-Datos!U18)/Datos!U18,(Datos!K18+Datos!AE18-(Datos!U18+Datos!AM18))/(Datos!U18+Datos!AM18))
     ),IF(Criterios!B14="SI",(Datos!K18-Datos!U18)/Datos!U18,(Datos!K18+Datos!AE18-(Datos!U18+Datos!AM18))/(Datos!U18+Datos!AM18))," - ")</f>
        <v>-0.23225806451612904</v>
      </c>
      <c r="E18" s="854">
        <f>IF(ISNUMBER(
   IF(Criterios!B14="SI",(Datos!L18-Datos!V18)/Datos!V18,(Datos!L18+Datos!AF18-(Datos!V18+Datos!AN18))/(Datos!V18+Datos!AN18))
     ),IF(Criterios!B14="SI",(Datos!L18-Datos!V18)/Datos!V18,(Datos!L18+Datos!AF18-(Datos!V18+Datos!AN18))/(Datos!V18+Datos!AN18))," - ")</f>
        <v>-1.2232415902140673E-2</v>
      </c>
      <c r="F18" s="855">
        <f>IF(ISNUMBER((Datos!M18-Datos!W18)/Datos!W18),(Datos!M18-Datos!W18)/Datos!W18," - ")</f>
        <v>-0.13636363636363635</v>
      </c>
      <c r="G18" s="856">
        <f>IF(ISNUMBER((Datos!N18-Datos!X18)/Datos!X18),(Datos!N18-Datos!X18)/Datos!X18," - ")</f>
        <v>-0.1875</v>
      </c>
      <c r="H18" s="856">
        <f>IF(ISNUMBER(((NºAsuntos!G18/NºAsuntos!E18)-Datos!BD18)/Datos!BD18),((NºAsuntos!G18/NºAsuntos!E18)-Datos!BD18)/Datos!BD18," - ")</f>
        <v>-0.2048387096774193</v>
      </c>
      <c r="I18" s="856">
        <f>IF(ISNUMBER(((NºAsuntos!I18/NºAsuntos!G18)-Datos!BE18)/Datos!BE18),((NºAsuntos!I18/NºAsuntos!G18)-Datos!BE18)/Datos!BE18," - ")</f>
        <v>0.28658802970729574</v>
      </c>
      <c r="J18" s="856">
        <f>IF(ISNUMBER((('Resol  Asuntos'!D18/NºAsuntos!G18)-Datos!BF18)/Datos!BF18),(('Resol  Asuntos'!D18/NºAsuntos!G18)-Datos!BF18)/Datos!BF18," - ")</f>
        <v>0.12490450725744834</v>
      </c>
      <c r="K18" s="856">
        <f>IF(ISNUMBER((((NºAsuntos!C18+NºAsuntos!E18)/NºAsuntos!G18)-Datos!BG18)/Datos!BG18),(((NºAsuntos!C18+NºAsuntos!E18)/NºAsuntos!G18)-Datos!BG18)/Datos!BG18," - ")</f>
        <v>0.18510297200641251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-7.5376884422110546E-2</v>
      </c>
      <c r="C19" s="801">
        <f>IF(ISNUMBER(
   IF(J_V="SI",(Datos!J19-Datos!T19)/Datos!T19,(Datos!J19+Datos!Z19-(Datos!T19+Datos!AH19))/(Datos!T19+Datos!AH19))
     ),IF(J_V="SI",(Datos!J19-Datos!T19)/Datos!T19,(Datos!J19+Datos!Z19-(Datos!T19+Datos!AH19))/(Datos!T19+Datos!AH19))," - ")</f>
        <v>-0.2</v>
      </c>
      <c r="D19" s="801">
        <f>IF(ISNUMBER(
   IF(J_V="SI",(Datos!K19-Datos!U19)/Datos!U19,(Datos!K19+Datos!AA19-(Datos!U19+Datos!AI19))/(Datos!U19+Datos!AI19))
     ),IF(J_V="SI",(Datos!K19-Datos!U19)/Datos!U19,(Datos!K19+Datos!AA19-(Datos!U19+Datos!AI19))/(Datos!U19+Datos!AI19))," - ")</f>
        <v>-0.1245674740484429</v>
      </c>
      <c r="E19" s="801">
        <f>IF(ISNUMBER(
   IF(J_V="SI",(Datos!L19-Datos!V19)/Datos!V19,(Datos!L19+Datos!AB19-(Datos!V19+Datos!AJ19))/(Datos!V19+Datos!AJ19))
     ),IF(J_V="SI",(Datos!L19-Datos!V19)/Datos!V19,(Datos!L19+Datos!AB19-(Datos!V19+Datos!AJ19))/(Datos!V19+Datos!AJ19))," - ")</f>
        <v>-0.11398176291793313</v>
      </c>
      <c r="F19" s="802">
        <f>IF(ISNUMBER((Datos!M19-Datos!W19)/Datos!W19),(Datos!M19-Datos!W19)/Datos!W19," - ")</f>
        <v>-0.15584415584415584</v>
      </c>
      <c r="G19" s="803">
        <f>IF(ISNUMBER((Datos!N19-Datos!X19)/Datos!X19),(Datos!N19-Datos!X19)/Datos!X19," - ")</f>
        <v>-0.18518518518518517</v>
      </c>
      <c r="H19" s="804">
        <f>IF(ISNUMBER((Tasas!B19-Datos!BD19)/Datos!BD19),(Tasas!B19-Datos!BD19)/Datos!BD19," - ")</f>
        <v>9.4290657439446313E-2</v>
      </c>
      <c r="I19" s="805">
        <f>IF(ISNUMBER((Tasas!C19-Datos!BE19)/Datos!BE19),(Tasas!C19-Datos!BE19)/Datos!BE19," - ")</f>
        <v>1.2091978326946046E-2</v>
      </c>
      <c r="J19" s="806">
        <f>IF(ISNUMBER((Tasas!D19-Datos!BF19)/Datos!BF19),(Tasas!D19-Datos!BF19)/Datos!BF19," - ")</f>
        <v>0.10819420683145545</v>
      </c>
      <c r="K19" s="806">
        <f>IF(ISNUMBER((Tasas!E19-Datos!BG19)/Datos!BG19),(Tasas!E19-Datos!BG19)/Datos!BG19," - ")</f>
        <v>4.0532715691951361E-3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Ser4gyF9wmn4QdfUvL91+76TlqvwcrSXDwzhrNAburSpNPADa6+P9r+f8CgHZ+g5syfBJDJb6csdsVze96C5w==" saltValue="M6/Z4GHrw5HpB/GH+xyo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CIUDAD RODRIGO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v>
      </c>
      <c r="D10" s="443">
        <f>IF(ISNUMBER('Resol  Asuntos'!D10/NºAsuntos!G10),'Resol  Asuntos'!D10/NºAsuntos!G10," - ")</f>
        <v>1</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1.2429906542056075</v>
      </c>
      <c r="C12" s="442">
        <f>IF(ISNUMBER(NºAsuntos!I12/NºAsuntos!G12),NºAsuntos!I12/NºAsuntos!G12," - ")</f>
        <v>1.9398496240601504</v>
      </c>
      <c r="D12" s="443">
        <f>IF(ISNUMBER('Resol  Asuntos'!D12/NºAsuntos!G12),'Resol  Asuntos'!D12/NºAsuntos!G12," - ")</f>
        <v>0.33834586466165412</v>
      </c>
      <c r="E12" s="444">
        <f>IF(ISNUMBER((NºAsuntos!C12+NºAsuntos!E12)/NºAsuntos!G12),(NºAsuntos!C12+NºAsuntos!E12)/NºAsuntos!G12," - ")</f>
        <v>2.9398496240601504</v>
      </c>
      <c r="G12" s="462"/>
    </row>
    <row r="13" spans="1:7" ht="14.25" thickTop="1" thickBot="1">
      <c r="A13" s="847" t="str">
        <f>Datos!A13</f>
        <v>TOTAL</v>
      </c>
      <c r="B13" s="857">
        <f>IF(ISNUMBER(NºAsuntos!G13/NºAsuntos!E13),NºAsuntos!G13/NºAsuntos!E13," - ")</f>
        <v>1.2407407407407407</v>
      </c>
      <c r="C13" s="858">
        <f>IF(ISNUMBER(NºAsuntos!I13/NºAsuntos!G13),NºAsuntos!I13/NºAsuntos!G13," - ")</f>
        <v>1.9402985074626866</v>
      </c>
      <c r="D13" s="859">
        <f>IF(ISNUMBER('Resol  Asuntos'!D13/NºAsuntos!G13),'Resol  Asuntos'!D13/NºAsuntos!G13," - ")</f>
        <v>0.34328358208955223</v>
      </c>
      <c r="E13" s="860">
        <f>IF(ISNUMBER((NºAsuntos!C13+NºAsuntos!E13)/NºAsuntos!G13),(NºAsuntos!C13+NºAsuntos!E13)/NºAsuntos!G13," - ")</f>
        <v>2.9402985074626864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0.67567567567567566</v>
      </c>
      <c r="C16" s="442">
        <f>IF(ISNUMBER(NºAsuntos!I16/NºAsuntos!G16),NºAsuntos!I16/NºAsuntos!G16," - ")</f>
        <v>3.03</v>
      </c>
      <c r="D16" s="443">
        <f>IF(ISNUMBER('Resol  Asuntos'!D16/NºAsuntos!G16),'Resol  Asuntos'!D16/NºAsuntos!G16," - ")</f>
        <v>0.18</v>
      </c>
      <c r="E16" s="444">
        <f>IF(ISNUMBER((NºAsuntos!C16+NºAsuntos!E16)/NºAsuntos!G16),(NºAsuntos!C16+NºAsuntos!E16)/NºAsuntos!G16," - ")</f>
        <v>3.95</v>
      </c>
      <c r="G16" s="462"/>
    </row>
    <row r="17" spans="1:7" ht="21.75" thickBot="1">
      <c r="A17" s="401" t="str">
        <f>Datos!A17</f>
        <v>Jdos. Violencia contra la mujer/Secc Viol. TI.</v>
      </c>
      <c r="B17" s="441">
        <f>IF(ISNUMBER(NºAsuntos!G17/NºAsuntos!E17),NºAsuntos!G17/NºAsuntos!E17," - ")</f>
        <v>0.95</v>
      </c>
      <c r="C17" s="442">
        <f>IF(ISNUMBER(NºAsuntos!I17/NºAsuntos!G17),NºAsuntos!I17/NºAsuntos!G17," - ")</f>
        <v>1.0526315789473684</v>
      </c>
      <c r="D17" s="443">
        <f>IF(ISNUMBER('Resol  Asuntos'!D17/NºAsuntos!G17),'Resol  Asuntos'!D17/NºAsuntos!G17," - ")</f>
        <v>5.2631578947368418E-2</v>
      </c>
      <c r="E17" s="444">
        <f>IF(ISNUMBER((NºAsuntos!C17+NºAsuntos!E17)/NºAsuntos!G17),(NºAsuntos!C17+NºAsuntos!E17)/NºAsuntos!G17," - ")</f>
        <v>2.0526315789473686</v>
      </c>
      <c r="G17" s="462"/>
    </row>
    <row r="18" spans="1:7" ht="14.25" thickTop="1" thickBot="1">
      <c r="A18" s="847" t="str">
        <f>Datos!A18</f>
        <v>TOTAL</v>
      </c>
      <c r="B18" s="857">
        <f>IF(ISNUMBER(NºAsuntos!G18/NºAsuntos!E18),NºAsuntos!G18/NºAsuntos!E18," - ")</f>
        <v>0.70833333333333337</v>
      </c>
      <c r="C18" s="858">
        <f>IF(ISNUMBER(NºAsuntos!I18/NºAsuntos!G18),NºAsuntos!I18/NºAsuntos!G18," - ")</f>
        <v>2.7142857142857144</v>
      </c>
      <c r="D18" s="861">
        <f>IF(ISNUMBER('Resol  Asuntos'!D18/NºAsuntos!G18),'Resol  Asuntos'!D18/NºAsuntos!G18," - ")</f>
        <v>0.15966386554621848</v>
      </c>
      <c r="E18" s="860">
        <f>IF(ISNUMBER((NºAsuntos!C18+NºAsuntos!E18)/NºAsuntos!G18),(NºAsuntos!C18+NºAsuntos!E18)/NºAsuntos!G18," - ")</f>
        <v>3.6470588235294117</v>
      </c>
      <c r="G18" s="462"/>
    </row>
    <row r="19" spans="1:7" ht="15.75" customHeight="1" thickTop="1" thickBot="1">
      <c r="A19" s="792" t="str">
        <f>Datos!A19</f>
        <v>TOTAL JURISDICCIONES</v>
      </c>
      <c r="B19" s="807">
        <f>IF(ISNUMBER(NºAsuntos!G19/NºAsuntos!E19),NºAsuntos!G19/NºAsuntos!E19," - ")</f>
        <v>0.91666666666666663</v>
      </c>
      <c r="C19" s="808">
        <f>IF(ISNUMBER(NºAsuntos!I19/NºAsuntos!G19),NºAsuntos!I19/NºAsuntos!G19," - ")</f>
        <v>2.3043478260869565</v>
      </c>
      <c r="D19" s="809">
        <f>IF(ISNUMBER('Resol  Asuntos'!D19/NºAsuntos!G19),'Resol  Asuntos'!D19/NºAsuntos!G19," - ")</f>
        <v>0.25691699604743085</v>
      </c>
      <c r="E19" s="810">
        <f>IF(ISNUMBER((NºAsuntos!C19+NºAsuntos!E19)/NºAsuntos!G19),(NºAsuntos!C19+NºAsuntos!E19)/NºAsuntos!G19," - ")</f>
        <v>3.2727272727272729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ksQzkcgDvinA/yF3jVeVSjK641PKBHkD0SxFEj9WOiJse83acc7b4ugfMmGpsKtFQBH9l2ApBDfjBRf0hY0UA==" saltValue="XOm0B6zexPdx6Io9h+vP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CIUDAD RODRIGO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4</v>
      </c>
      <c r="AN10" s="243">
        <f>IF(ISNUMBER('Resol  Asuntos'!D10/NºAsuntos!G10),'Resol  Asuntos'!D10/NºAsuntos!G10," - ")</f>
        <v>1</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v>
      </c>
      <c r="AJ12" s="228" t="str">
        <f>IF(ISNUMBER(Datos!BW12),Datos!BW12," - ")</f>
        <v xml:space="preserve"> - </v>
      </c>
      <c r="AK12" s="227" t="str">
        <f>IF(ISNUMBER(Datos!BX12),Datos!BX12," - ")</f>
        <v xml:space="preserve"> - </v>
      </c>
      <c r="AL12" s="242">
        <f>IF(ISNUMBER(NºAsuntos!G12/NºAsuntos!E12),NºAsuntos!G12/NºAsuntos!E12," - ")</f>
        <v>1.2429906542056075</v>
      </c>
      <c r="AM12" s="259">
        <f>IF(ISNUMBER(((NºAsuntos!I12/NºAsuntos!G12)*11)/factor_trimestre),((NºAsuntos!I12/NºAsuntos!G12)*11)/factor_trimestre," - ")</f>
        <v>3.8796992481203008</v>
      </c>
      <c r="AN12" s="243">
        <f>IF(ISNUMBER('Resol  Asuntos'!D12/NºAsuntos!G12),'Resol  Asuntos'!D12/NºAsuntos!G12," - ")</f>
        <v>0.33834586466165412</v>
      </c>
      <c r="AO12" s="244">
        <f>IF(ISNUMBER((NºAsuntos!C12+NºAsuntos!E12)/NºAsuntos!G12),(NºAsuntos!C12+NºAsuntos!E12)/NºAsuntos!G12," - ")</f>
        <v>2.9398496240601504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18</v>
      </c>
      <c r="Y13" s="867">
        <f t="shared" si="4"/>
        <v>19</v>
      </c>
      <c r="Z13" s="867">
        <f t="shared" si="4"/>
        <v>0</v>
      </c>
      <c r="AA13" s="867">
        <f t="shared" si="4"/>
        <v>2</v>
      </c>
      <c r="AB13" s="867">
        <f t="shared" si="4"/>
        <v>469</v>
      </c>
      <c r="AC13" s="867">
        <f t="shared" si="4"/>
        <v>2</v>
      </c>
      <c r="AD13" s="867">
        <f t="shared" si="4"/>
        <v>0</v>
      </c>
      <c r="AE13" s="871">
        <f t="shared" si="4"/>
        <v>0</v>
      </c>
      <c r="AF13" s="864">
        <f t="shared" si="4"/>
        <v>0</v>
      </c>
      <c r="AG13" s="872">
        <f t="shared" si="4"/>
        <v>0</v>
      </c>
      <c r="AH13" s="869">
        <f t="shared" si="4"/>
        <v>0</v>
      </c>
      <c r="AI13" s="864">
        <f t="shared" si="4"/>
        <v>46</v>
      </c>
      <c r="AJ13" s="866">
        <f t="shared" si="4"/>
        <v>0</v>
      </c>
      <c r="AK13" s="869">
        <f>SUBTOTAL(9,AK9:AK12)</f>
        <v>0</v>
      </c>
      <c r="AL13" s="873">
        <f>IF(ISNUMBER(NºAsuntos!G13/NºAsuntos!E13),NºAsuntos!G13/NºAsuntos!E13," - ")</f>
        <v>1.2407407407407407</v>
      </c>
      <c r="AM13" s="873">
        <f>IF(ISNUMBER(((NºAsuntos!I13/NºAsuntos!G13)*11)/factor_trimestre),((NºAsuntos!I13/NºAsuntos!G13)*11)/factor_trimestre," - ")</f>
        <v>3.8805970149253728</v>
      </c>
      <c r="AN13" s="874">
        <f>IF(ISNUMBER('Resol  Asuntos'!D13/NºAsuntos!G13),'Resol  Asuntos'!D13/NºAsuntos!G13," - ")</f>
        <v>0.34328358208955223</v>
      </c>
      <c r="AO13" s="875">
        <f>IF(ISNUMBER((NºAsuntos!C13+NºAsuntos!E13)/NºAsuntos!G13),(NºAsuntos!C13+NºAsuntos!E13)/NºAsuntos!G13," - ")</f>
        <v>2.9402985074626864</v>
      </c>
      <c r="AP13" s="876" t="str">
        <f t="shared" si="2"/>
        <v xml:space="preserve"> - </v>
      </c>
      <c r="AQ13" s="876">
        <f>IF(ISNUMBER((H13-W13+K13)/(F13)),(H13-W13+K13)/(F13)," - ")</f>
        <v>-0.5</v>
      </c>
      <c r="AR13" s="877">
        <f>IF(ISNUMBER((Datos!P13-Datos!Q13)/(Datos!R13-Datos!P13+Datos!Q13)),(Datos!P13-Datos!Q13)/(Datos!R13-Datos!P13+Datos!Q13)," - ")</f>
        <v>0.13012048192771083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255</v>
      </c>
      <c r="G16" s="332">
        <f>IF(ISNUMBER(IF(D_I="SI",Datos!I16,Datos!I16+Datos!AC16)),IF(D_I="SI",Datos!I16,Datos!I16+Datos!AC16)," - ")</f>
        <v>247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100</v>
      </c>
      <c r="X16" s="225">
        <f>IF(ISNUMBER(Datos!Q16),Datos!Q16," - ")</f>
        <v>1</v>
      </c>
      <c r="Y16" s="333">
        <f t="shared" ref="Y16:Y17" si="7">SUM(W16:X16)</f>
        <v>101</v>
      </c>
      <c r="Z16" s="334" t="str">
        <f>IF(ISNUMBER(Datos!CC16),Datos!CC16," - ")</f>
        <v xml:space="preserve"> - </v>
      </c>
      <c r="AA16" s="331">
        <f>IF(ISNUMBER(IF(D_I="SI",Datos!L16,Datos!L16+Datos!AF16)),IF(D_I="SI",Datos!L16,Datos!L16+Datos!AF16)," - ")</f>
        <v>303</v>
      </c>
      <c r="AB16" s="333">
        <f>IF(ISNUMBER(Datos!R16),Datos!R16," - ")</f>
        <v>45</v>
      </c>
      <c r="AC16" s="333">
        <f t="shared" si="6"/>
        <v>348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v>
      </c>
      <c r="AJ16" s="230" t="str">
        <f>IF(ISNUMBER(Datos!BW16),Datos!BW16," - ")</f>
        <v xml:space="preserve"> - </v>
      </c>
      <c r="AK16" s="231" t="str">
        <f>IF(ISNUMBER(Datos!BX16),Datos!BX16," - ")</f>
        <v xml:space="preserve"> - </v>
      </c>
      <c r="AL16" s="242">
        <f>IF(ISNUMBER(NºAsuntos!G16/NºAsuntos!E16),NºAsuntos!G16/NºAsuntos!E16," - ")</f>
        <v>0.67567567567567566</v>
      </c>
      <c r="AM16" s="259">
        <f>IF(ISNUMBER(((NºAsuntos!I16/NºAsuntos!G16)*11)/factor_trimestre),((NºAsuntos!I16/NºAsuntos!G16)*11)/factor_trimestre," - ")</f>
        <v>6.06</v>
      </c>
      <c r="AN16" s="243">
        <f>IF(ISNUMBER('Resol  Asuntos'!D16/NºAsuntos!G16),'Resol  Asuntos'!D16/NºAsuntos!G16," - ")</f>
        <v>0.18</v>
      </c>
      <c r="AO16" s="244">
        <f>IF(ISNUMBER((NºAsuntos!C16+NºAsuntos!E16)/NºAsuntos!G16),(NºAsuntos!C16+NºAsuntos!E16)/NºAsuntos!G16," - ")</f>
        <v>3.95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v>
      </c>
      <c r="X17" s="225">
        <f>IF(ISNUMBER(Datos!Q17),Datos!Q17," - ")</f>
        <v>0</v>
      </c>
      <c r="Y17" s="333">
        <f t="shared" si="7"/>
        <v>19</v>
      </c>
      <c r="Z17" s="334" t="str">
        <f>IF(ISNUMBER(Datos!CC17),Datos!CC17," - ")</f>
        <v xml:space="preserve"> - </v>
      </c>
      <c r="AA17" s="331">
        <f>IF(ISNUMBER(Datos!L17),Datos!L17,"-")</f>
        <v>20</v>
      </c>
      <c r="AB17" s="333">
        <f>IF(ISNUMBER(Datos!R17),Datos!R17," - ")</f>
        <v>0</v>
      </c>
      <c r="AC17" s="333">
        <f t="shared" si="6"/>
        <v>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0.95</v>
      </c>
      <c r="AM17" s="259">
        <f>IF(ISNUMBER(((NºAsuntos!I17/NºAsuntos!G17)*11)/factor_trimestre),((NºAsuntos!I17/NºAsuntos!G17)*11)/factor_trimestre," - ")</f>
        <v>2.1052631578947367</v>
      </c>
      <c r="AN17" s="243">
        <f>IF(ISNUMBER('Resol  Asuntos'!D17/NºAsuntos!G17),'Resol  Asuntos'!D17/NºAsuntos!G17," - ")</f>
        <v>5.2631578947368418E-2</v>
      </c>
      <c r="AO17" s="244">
        <f>IF(ISNUMBER((NºAsuntos!C17+NºAsuntos!E17)/NºAsuntos!G17),(NºAsuntos!C17+NºAsuntos!E17)/NºAsuntos!G17," - ")</f>
        <v>2.0526315789473686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255</v>
      </c>
      <c r="G18" s="865">
        <f>SUBTOTAL(9,G15:G17)</f>
        <v>266</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119</v>
      </c>
      <c r="X18" s="866">
        <f t="shared" si="11"/>
        <v>1</v>
      </c>
      <c r="Y18" s="867">
        <f t="shared" si="11"/>
        <v>120</v>
      </c>
      <c r="Z18" s="867">
        <f t="shared" si="11"/>
        <v>0</v>
      </c>
      <c r="AA18" s="867">
        <f t="shared" si="11"/>
        <v>323</v>
      </c>
      <c r="AB18" s="867">
        <f t="shared" si="11"/>
        <v>45</v>
      </c>
      <c r="AC18" s="867">
        <f t="shared" si="11"/>
        <v>368</v>
      </c>
      <c r="AD18" s="867">
        <f t="shared" si="11"/>
        <v>0</v>
      </c>
      <c r="AE18" s="871">
        <f t="shared" si="11"/>
        <v>0</v>
      </c>
      <c r="AF18" s="864">
        <f t="shared" si="11"/>
        <v>0</v>
      </c>
      <c r="AG18" s="872">
        <f t="shared" si="11"/>
        <v>0</v>
      </c>
      <c r="AH18" s="869">
        <f t="shared" si="11"/>
        <v>0</v>
      </c>
      <c r="AI18" s="864">
        <f t="shared" si="11"/>
        <v>19</v>
      </c>
      <c r="AJ18" s="866">
        <f t="shared" si="11"/>
        <v>0</v>
      </c>
      <c r="AK18" s="869">
        <f t="shared" si="11"/>
        <v>0</v>
      </c>
      <c r="AL18" s="873">
        <f>IF(ISNUMBER(NºAsuntos!G18/NºAsuntos!E18),NºAsuntos!G18/NºAsuntos!E18," - ")</f>
        <v>0.70833333333333337</v>
      </c>
      <c r="AM18" s="873">
        <f>IF(ISNUMBER(((NºAsuntos!I18/NºAsuntos!G18)*11)/factor_trimestre),((NºAsuntos!I18/NºAsuntos!G18)*11)/factor_trimestre," - ")</f>
        <v>5.4285714285714288</v>
      </c>
      <c r="AN18" s="874">
        <f>IF(ISNUMBER('Resol  Asuntos'!D18/NºAsuntos!G18),'Resol  Asuntos'!D18/NºAsuntos!G18," - ")</f>
        <v>0.15966386554621848</v>
      </c>
      <c r="AO18" s="875">
        <f>IF(ISNUMBER((NºAsuntos!C18+NºAsuntos!E18)/NºAsuntos!G18),(NºAsuntos!C18+NºAsuntos!E18)/NºAsuntos!G18," - ")</f>
        <v>3.6470588235294117</v>
      </c>
      <c r="AP18" s="876" t="str">
        <f t="shared" si="2"/>
        <v xml:space="preserve"> - </v>
      </c>
      <c r="AQ18" s="876">
        <f>IF(ISNUMBER((H18-W18+K18)/(F18)),(H18-W18+K18)/(F18)," - ")</f>
        <v>-0.46666666666666667</v>
      </c>
      <c r="AR18" s="877">
        <f>IF(ISNUMBER((Datos!P18-Datos!Q18)/(Datos!R18-Datos!P18+Datos!Q18)),(Datos!P18-Datos!Q18)/(Datos!R18-Datos!P18+Datos!Q18)," - ")</f>
        <v>0.15384615384615385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257</v>
      </c>
      <c r="G19" s="820">
        <f t="shared" si="13"/>
        <v>268</v>
      </c>
      <c r="H19" s="819">
        <f t="shared" si="13"/>
        <v>0</v>
      </c>
      <c r="I19" s="821">
        <f t="shared" si="13"/>
        <v>0</v>
      </c>
      <c r="J19" s="821">
        <f t="shared" si="13"/>
        <v>0</v>
      </c>
      <c r="K19" s="880">
        <f t="shared" si="13"/>
        <v>0</v>
      </c>
      <c r="L19" s="821">
        <f t="shared" si="13"/>
        <v>79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120</v>
      </c>
      <c r="X19" s="820">
        <f t="shared" si="14"/>
        <v>19</v>
      </c>
      <c r="Y19" s="827">
        <f t="shared" si="14"/>
        <v>139</v>
      </c>
      <c r="Z19" s="827">
        <f t="shared" si="14"/>
        <v>0</v>
      </c>
      <c r="AA19" s="827">
        <f t="shared" si="14"/>
        <v>325</v>
      </c>
      <c r="AB19" s="827">
        <f t="shared" si="14"/>
        <v>514</v>
      </c>
      <c r="AC19" s="827">
        <f t="shared" si="14"/>
        <v>370</v>
      </c>
      <c r="AD19" s="827">
        <f t="shared" si="14"/>
        <v>0</v>
      </c>
      <c r="AE19" s="829">
        <f t="shared" si="14"/>
        <v>0</v>
      </c>
      <c r="AF19" s="830">
        <f t="shared" si="14"/>
        <v>0</v>
      </c>
      <c r="AG19" s="831">
        <f t="shared" si="14"/>
        <v>0</v>
      </c>
      <c r="AH19" s="829">
        <f t="shared" si="14"/>
        <v>0</v>
      </c>
      <c r="AI19" s="819">
        <f t="shared" si="14"/>
        <v>65</v>
      </c>
      <c r="AJ19" s="819">
        <f t="shared" si="14"/>
        <v>0</v>
      </c>
      <c r="AK19" s="829">
        <f t="shared" si="14"/>
        <v>0</v>
      </c>
      <c r="AL19" s="883">
        <f>IF(ISNUMBER(NºAsuntos!G19/NºAsuntos!E19),NºAsuntos!G19/NºAsuntos!E19," - ")</f>
        <v>0.91666666666666663</v>
      </c>
      <c r="AM19" s="884">
        <f>IF(ISNUMBER(((NºAsuntos!I19/NºAsuntos!G19)*11)/factor_trimestre),((NºAsuntos!I19/NºAsuntos!G19)*11)/factor_trimestre," - ")</f>
        <v>4.6086956521739131</v>
      </c>
      <c r="AN19" s="884">
        <f>IF(ISNUMBER('Resol  Asuntos'!D19/NºAsuntos!G19),'Resol  Asuntos'!D19/NºAsuntos!G19," - ")</f>
        <v>0.25691699604743085</v>
      </c>
      <c r="AO19" s="885">
        <f>IF(ISNUMBER((NºAsuntos!C19+NºAsuntos!E19)/NºAsuntos!G19),(NºAsuntos!C19+NºAsuntos!E19)/NºAsuntos!G19," - ")</f>
        <v>3.2727272727272729</v>
      </c>
      <c r="AP19" s="886" t="str">
        <f t="shared" si="2"/>
        <v xml:space="preserve"> - </v>
      </c>
      <c r="AQ19" s="887">
        <f>IF(OR(ISNUMBER(FIND("01",Criterios!A8,1)),ISNUMBER(FIND("02",Criterios!A8,1)),ISNUMBER(FIND("03",Criterios!A8,1)),ISNUMBER(FIND("04",Criterios!A8,1))),(I19-W19+K19)/(F19-K19),(H19-W19+K19)/(F19-K19))</f>
        <v>-0.46692607003891051</v>
      </c>
      <c r="AR19" s="888">
        <f>IF(ISNUMBER((Datos!P19-Datos!Q19)/(Datos!R19-Datos!P19+Datos!Q19)),(Datos!P19-Datos!Q19)/(Datos!R19-Datos!P19+Datos!Q19)," - ")</f>
        <v>0.13215859030837004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146.06961810497532</v>
      </c>
      <c r="G21" s="252">
        <f>IF(ISNUMBER(STDEV(G8:G18)),STDEV(G8:G18),"-")</f>
        <v>136.63345124822106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57.01754116059373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20.056586615540212</v>
      </c>
      <c r="AJ21" s="251">
        <f t="shared" si="18"/>
        <v>0</v>
      </c>
      <c r="AK21" s="253">
        <f t="shared" si="18"/>
        <v>0</v>
      </c>
      <c r="AL21" s="248">
        <f t="shared" si="18"/>
        <v>0.24666570387935396</v>
      </c>
      <c r="AM21" s="249">
        <f t="shared" si="18"/>
        <v>1.3854646617537794</v>
      </c>
      <c r="AN21" s="249">
        <f t="shared" si="18"/>
        <v>0.3394476196731222</v>
      </c>
      <c r="AO21" s="250">
        <f t="shared" si="18"/>
        <v>0.66016456083314634</v>
      </c>
      <c r="AP21" s="290" t="str">
        <f t="shared" si="18"/>
        <v>-</v>
      </c>
      <c r="AQ21" s="291">
        <f t="shared" si="18"/>
        <v>2.357022603955158E-2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YM+4vuS7EVas5P1abOr6+RdikvGJh5OqLj5nFz6iO3qjw31IgeMcm/IGYVyjuHFJT56t7kqQrnanpPNnZngJQ==" saltValue="W5pIXgqAqn7Kvj6B9fW1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CIUDAD RODRIGO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0</v>
      </c>
      <c r="G10" s="348">
        <f>IF(ISNUMBER((Datos!L10-Datos!V10)/Datos!V10),(Datos!L10-Datos!V10)/Datos!V10," - ")</f>
        <v>0</v>
      </c>
      <c r="H10" s="229">
        <f>IF(ISNUMBER((Datos!M10-Datos!W10)/Datos!W10),(Datos!M10-Datos!W10)/Datos!W10," - ")</f>
        <v>0</v>
      </c>
      <c r="I10" s="349">
        <f>IF(ISNUMBER((Tasas!C10-Datos!BE10)/Datos!BE10),(Tasas!C10-Datos!BE10)/Datos!BE10," - ")</f>
        <v>0</v>
      </c>
      <c r="J10" s="348">
        <f>IF(ISNUMBER((Tasas!D10-Datos!BF10)/Datos!BF10),(Tasas!D10-Datos!BF10)/Datos!BF10," - ")</f>
        <v>0</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-0.16666666666666666</v>
      </c>
      <c r="I12" s="349">
        <f>IF(ISNUMBER((Tasas!C12-Datos!BE12)/Datos!BE12),(Tasas!C12-Datos!BE12)/Datos!BE12," - ")</f>
        <v>-0.21580547112462009</v>
      </c>
      <c r="J12" s="348">
        <f>IF(ISNUMBER((Tasas!D12-Datos!BF12)/Datos!BF12),(Tasas!D12-Datos!BF12)/Datos!BF12," - ")</f>
        <v>2.2727272727272728E-2</v>
      </c>
      <c r="K12" s="350">
        <f>IF(ISNUMBER((Tasas!E12-Datos!BG12)/Datos!BG12),(Tasas!E12-Datos!BG12)/Datos!BG12," - ")</f>
        <v>-0.15367965367965372</v>
      </c>
      <c r="M12" t="e">
        <f>IF(Monitorios="SI",Datos!CE12,0)</f>
        <v>#REF!</v>
      </c>
      <c r="N12" t="e">
        <f>IF(Monitorios="SI",Datos!CF12,0)</f>
        <v>#REF!</v>
      </c>
      <c r="O12" t="e">
        <f>IF(Monitorios="SI",Datos!CG12,0)</f>
        <v>#REF!</v>
      </c>
      <c r="P12" t="e">
        <f>IF(Monitorios="SI",Datos!CH12,0)</f>
        <v>#REF!</v>
      </c>
      <c r="Q12">
        <f>IF(J_V="SI",0,Datos!AG12)</f>
        <v>16</v>
      </c>
      <c r="R12">
        <f>IF(J_V="SI",0,Datos!AH12)</f>
        <v>18</v>
      </c>
      <c r="S12">
        <f>IF(J_V="SI",0,Datos!AI12)</f>
        <v>17</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-0.16363636363636364</v>
      </c>
      <c r="I13" s="356">
        <f>IF(ISNUMBER((Tasas!C13-Datos!BE13)/Datos!BE13),(Tasas!C13-Datos!BE13)/Datos!BE13," - ")</f>
        <v>-0.21450151057401809</v>
      </c>
      <c r="J13" s="354">
        <f>IF(ISNUMBER((Tasas!D13-Datos!BF13)/Datos!BF13),(Tasas!D13-Datos!BF13)/Datos!BF13," - ")</f>
        <v>2.2222222222222119E-2</v>
      </c>
      <c r="K13" s="357">
        <f>IF(ISNUMBER((Tasas!E13-Datos!BG13)/Datos!BG13),(Tasas!E13-Datos!BG13)/Datos!BG13," - ")</f>
        <v>-0.15268817204301077</v>
      </c>
      <c r="M13" t="e">
        <f>IF(Monitorios="SI",Datos!CE13,0)</f>
        <v>#REF!</v>
      </c>
      <c r="N13" t="e">
        <f>IF(Monitorios="SI",Datos!CF13,0)</f>
        <v>#REF!</v>
      </c>
      <c r="O13" t="e">
        <f>IF(Monitorios="SI",Datos!CG13,0)</f>
        <v>#REF!</v>
      </c>
      <c r="P13" t="e">
        <f>IF(Monitorios="SI",Datos!CH13,0)</f>
        <v>#REF!</v>
      </c>
      <c r="Q13">
        <f>IF(J_V="SI",0,Datos!AG13)</f>
        <v>16</v>
      </c>
      <c r="R13">
        <f>IF(J_V="SI",0,Datos!AH13)</f>
        <v>18</v>
      </c>
      <c r="S13">
        <f>IF(J_V="SI",0,Datos!AI13)</f>
        <v>17</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-0.15699658703071673</v>
      </c>
      <c r="E16" s="347">
        <f>IF(ISNUMBER(
   IF(D_I="SI",(Datos!J16-Datos!T16)/Datos!T16,(Datos!J16+Datos!AD16-(Datos!T16+Datos!AL16))/(Datos!T16+Datos!AL16))
     ),IF(D_I="SI",(Datos!J16-Datos!T16)/Datos!T16,(Datos!J16+Datos!AD16-(Datos!T16+Datos!AL16))/(Datos!T16+Datos!AL16))," - ")</f>
        <v>-7.4999999999999997E-2</v>
      </c>
      <c r="F16" s="347">
        <f>IF(ISNUMBER(
   IF(D_I="SI",(Datos!K16-Datos!U16)/Datos!U16,(Datos!K16+Datos!AE16-(Datos!U16+Datos!AM16))/(Datos!U16+Datos!AM16))
     ),IF(D_I="SI",(Datos!K16-Datos!U16)/Datos!U16,(Datos!K16+Datos!AE16-(Datos!U16+Datos!AM16))/(Datos!U16+Datos!AM16))," - ")</f>
        <v>-0.31506849315068491</v>
      </c>
      <c r="G16" s="348">
        <f>IF(ISNUMBER(
   IF(D_I="SI",(Datos!L16-Datos!V16)/Datos!V16,(Datos!L16+Datos!AF16-(Datos!V16+Datos!AN16))/(Datos!V16+Datos!AN16))
     ),IF(D_I="SI",(Datos!L16-Datos!V16)/Datos!V16,(Datos!L16+Datos!AF16-(Datos!V16+Datos!AN16))/(Datos!V16+Datos!AN16))," - ")</f>
        <v>-2.8846153846153848E-2</v>
      </c>
      <c r="H16" s="229">
        <f>IF(ISNUMBER((Datos!M16-Datos!W16)/Datos!W16),(Datos!M16-Datos!W16)/Datos!W16," - ")</f>
        <v>-0.14285714285714285</v>
      </c>
      <c r="I16" s="349">
        <f>IF(ISNUMBER((Tasas!C16-Datos!BE16)/Datos!BE16),(Tasas!C16-Datos!BE16)/Datos!BE16," - ")</f>
        <v>0.41788461538461524</v>
      </c>
      <c r="J16" s="348">
        <f>IF(ISNUMBER((Tasas!D16-Datos!BF16)/Datos!BF16),(Tasas!D16-Datos!BF16)/Datos!BF16," - ")</f>
        <v>0.25142857142857145</v>
      </c>
      <c r="K16" s="350">
        <f>IF(ISNUMBER((Tasas!E16-Datos!BG16)/Datos!BG16),(Tasas!E16-Datos!BG16)/Datos!BG16," - ")</f>
        <v>0.27306843267108166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1.1111111111111112</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0</v>
      </c>
      <c r="I17" s="349">
        <f>IF(ISNUMBER((Tasas!C17-Datos!BE17)/Datos!BE17),(Tasas!C17-Datos!BE17)/Datos!BE17," - ")</f>
        <v>-0.36842105263157904</v>
      </c>
      <c r="J17" s="348">
        <f>IF(ISNUMBER((Tasas!D17-Datos!BF17)/Datos!BF17),(Tasas!D17-Datos!BF17)/Datos!BF17," - ")</f>
        <v>-0.52631578947368418</v>
      </c>
      <c r="K17" s="350">
        <f>IF(ISNUMBER((Tasas!E17-Datos!BG17)/Datos!BG17),(Tasas!E17-Datos!BG17)/Datos!BG17," - ")</f>
        <v>-0.23026315789473673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-0.12211221122112212</v>
      </c>
      <c r="E18" s="353">
        <f>IF(ISNUMBER(
   IF(D_I="SI",(Datos!J18-Datos!T18)/Datos!T18,(Datos!J18+Datos!AD18-(Datos!T18+Datos!AL18))/(Datos!T18+Datos!AL18))
     ),IF(D_I="SI",(Datos!J18-Datos!T18)/Datos!T18,(Datos!J18+Datos!AD18-(Datos!T18+Datos!AL18))/(Datos!T18+Datos!AL18))," - ")</f>
        <v>-3.4482758620689655E-2</v>
      </c>
      <c r="F18" s="353">
        <f>IF(ISNUMBER(
   IF(D_I="SI",(Datos!K18-Datos!U18)/Datos!U18,(Datos!K18+Datos!AE18-(Datos!U18+Datos!AM18))/(Datos!U18+Datos!AM18))
     ),IF(D_I="SI",(Datos!K18-Datos!U18)/Datos!U18,(Datos!K18+Datos!AE18-(Datos!U18+Datos!AM18))/(Datos!U18+Datos!AM18))," - ")</f>
        <v>-0.23225806451612904</v>
      </c>
      <c r="G18" s="354">
        <f>IF(ISNUMBER(
   IF(D_I="SI",(Datos!L18-Datos!V18)/Datos!V18,(Datos!L18+Datos!AF18-(Datos!V18+Datos!AN18))/(Datos!V18+Datos!AN18))
     ),IF(D_I="SI",(Datos!L18-Datos!V18)/Datos!V18,(Datos!L18+Datos!AF18-(Datos!V18+Datos!AN18))/(Datos!V18+Datos!AN18))," - ")</f>
        <v>-1.2232415902140673E-2</v>
      </c>
      <c r="H18" s="355">
        <f>IF(ISNUMBER((Datos!M18-Datos!W18)/Datos!W18),(Datos!M18-Datos!W18)/Datos!W18," - ")</f>
        <v>-0.13636363636363635</v>
      </c>
      <c r="I18" s="356">
        <f>IF(ISNUMBER((Tasas!C18-Datos!BE18)/Datos!BE18),(Tasas!C18-Datos!BE18)/Datos!BE18," - ")</f>
        <v>0.28658802970729574</v>
      </c>
      <c r="J18" s="354">
        <f>IF(ISNUMBER((Tasas!D18-Datos!BF18)/Datos!BF18),(Tasas!D18-Datos!BF18)/Datos!BF18," - ")</f>
        <v>0.12490450725744834</v>
      </c>
      <c r="K18" s="357">
        <f>IF(ISNUMBER((Tasas!E18-Datos!BG18)/Datos!BG18),(Tasas!E18-Datos!BG18)/Datos!BG18," - ")</f>
        <v>0.18510297200641251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-7.5376884422110546E-2</v>
      </c>
      <c r="E19" s="362">
        <f>IF(ISNUMBER(
   IF(J_V="SI",(Datos!J19-Datos!T19)/Datos!T19,(Datos!J19+Datos!Z19-(Datos!T19+Datos!AH19))/(Datos!T19+Datos!AH19))
     ),IF(J_V="SI",(Datos!J19-Datos!T19)/Datos!T19,(Datos!J19+Datos!Z19-(Datos!T19+Datos!AH19))/(Datos!T19+Datos!AH19))," - ")</f>
        <v>-0.2</v>
      </c>
      <c r="F19" s="362">
        <f>IF(ISNUMBER(
   IF(J_V="SI",(Datos!K19-Datos!U19)/Datos!U19,(Datos!K19+Datos!AA19-(Datos!U19+Datos!AI19))/(Datos!U19+Datos!AI19))
     ),IF(J_V="SI",(Datos!K19-Datos!U19)/Datos!U19,(Datos!K19+Datos!AA19-(Datos!U19+Datos!AI19))/(Datos!U19+Datos!AI19))," - ")</f>
        <v>-0.1245674740484429</v>
      </c>
      <c r="G19" s="363">
        <f>IF(ISNUMBER(
   IF(J_V="SI",(Datos!L19-Datos!V19)/Datos!V19,(Datos!L19+Datos!AB19-(Datos!V19+Datos!AJ19))/(Datos!V19+Datos!AJ19))
     ),IF(J_V="SI",(Datos!L19-Datos!V19)/Datos!V19,(Datos!L19+Datos!AB19-(Datos!V19+Datos!AJ19))/(Datos!V19+Datos!AJ19))," - ")</f>
        <v>-0.11398176291793313</v>
      </c>
      <c r="H19" s="364">
        <f>IF(ISNUMBER((Datos!M19-Datos!W19)/Datos!W19),(Datos!M19-Datos!W19)/Datos!W19," - ")</f>
        <v>-0.15584415584415584</v>
      </c>
      <c r="I19" s="361">
        <f>IF(ISNUMBER((Tasas!C19-Datos!BE19)/Datos!BE19),(Tasas!C19-Datos!BE19)/Datos!BE19," - ")</f>
        <v>1.2091978326946046E-2</v>
      </c>
      <c r="J19" s="362">
        <f>IF(ISNUMBER((Tasas!D19-Datos!BF19)/Datos!BF19),(Tasas!D19-Datos!BF19)/Datos!BF19," - ")</f>
        <v>0.10819420683145545</v>
      </c>
      <c r="K19" s="363">
        <f>IF(ISNUMBER((Tasas!E19-Datos!BG19)/Datos!BG19),(Tasas!E19-Datos!BG19)/Datos!BG19," - ")</f>
        <v>4.0532715691951361E-3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0.5010598265565156</v>
      </c>
      <c r="E21" s="277">
        <f t="shared" si="1"/>
        <v>0.23454433497536945</v>
      </c>
      <c r="F21" s="277">
        <f t="shared" si="1"/>
        <v>0.66038287113562466</v>
      </c>
      <c r="G21" s="278">
        <f t="shared" si="1"/>
        <v>0.17391533571644688</v>
      </c>
      <c r="H21" s="284">
        <f t="shared" si="1"/>
        <v>7.9546166226656015E-2</v>
      </c>
      <c r="I21" s="276">
        <f t="shared" si="1"/>
        <v>0.31099728045153785</v>
      </c>
      <c r="J21" s="277">
        <f t="shared" si="1"/>
        <v>0.26645730091744207</v>
      </c>
      <c r="K21" s="278">
        <f t="shared" si="1"/>
        <v>0.2038409824510603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orYacmxS5W4V2O1kCj3Z7/HDe8t59S+ykkJ0aHRRyEkVkMpOialPboeHowZadcqb7sugj4f1azSpnrusHwodA==" saltValue="SmUBX5pI53Myv3XfP6cTv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